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stdigiks34250\Downloads\"/>
    </mc:Choice>
  </mc:AlternateContent>
  <xr:revisionPtr revIDLastSave="0" documentId="13_ncr:1_{6E18E206-B631-4694-A9EF-39BBE27CCFD9}" xr6:coauthVersionLast="47" xr6:coauthVersionMax="47" xr10:uidLastSave="{00000000-0000-0000-0000-000000000000}"/>
  <bookViews>
    <workbookView xWindow="28680" yWindow="-120" windowWidth="29040" windowHeight="17520" xr2:uid="{4D1749CD-7348-40E3-9063-2FA36ECE44CB}"/>
  </bookViews>
  <sheets>
    <sheet name="aruanne" sheetId="1" r:id="rId1"/>
    <sheet name="võrdlus" sheetId="2" r:id="rId2"/>
    <sheet name="lõpliku eelarve kujunemine" sheetId="4" r:id="rId3"/>
  </sheets>
  <definedNames>
    <definedName name="_xlnm._FilterDatabase" localSheetId="1" hidden="1">võrdlus!$A$4:$J$24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D20" i="1"/>
  <c r="D51" i="1" l="1"/>
  <c r="E52" i="1"/>
  <c r="E51" i="1"/>
  <c r="D52" i="1"/>
  <c r="D29" i="1"/>
  <c r="D28" i="1"/>
  <c r="D27" i="1"/>
  <c r="D26" i="1"/>
  <c r="D25" i="1"/>
  <c r="D24" i="1"/>
  <c r="D23" i="1"/>
  <c r="D22" i="1"/>
  <c r="D21" i="1"/>
  <c r="D19" i="1"/>
  <c r="D18" i="1"/>
  <c r="C13" i="2"/>
  <c r="F34" i="1" l="1"/>
  <c r="D34" i="1"/>
  <c r="C34" i="1"/>
  <c r="E34" i="1"/>
  <c r="G35" i="1"/>
  <c r="H22" i="2"/>
  <c r="I22" i="2" s="1"/>
  <c r="D22" i="2"/>
  <c r="E22" i="2" s="1"/>
  <c r="G34" i="1" l="1"/>
  <c r="D31" i="1"/>
  <c r="D33" i="1"/>
  <c r="D30" i="1"/>
  <c r="E8" i="1"/>
  <c r="G3" i="2" l="1"/>
  <c r="E11" i="1"/>
  <c r="E31" i="1"/>
  <c r="C17" i="2"/>
  <c r="C14" i="2"/>
  <c r="D12" i="2"/>
  <c r="C11" i="2"/>
  <c r="C10" i="2"/>
  <c r="C3" i="2" l="1"/>
  <c r="D32" i="1" l="1"/>
  <c r="F46" i="1" l="1"/>
  <c r="F45" i="1"/>
  <c r="F41" i="1"/>
  <c r="F31" i="1"/>
  <c r="F17" i="1"/>
  <c r="F15" i="1" s="1"/>
  <c r="F13" i="1" s="1"/>
  <c r="F16" i="1"/>
  <c r="F14" i="1" s="1"/>
  <c r="F12" i="1" s="1"/>
  <c r="F11" i="1"/>
  <c r="F10" i="1"/>
  <c r="F8" i="1"/>
  <c r="F7" i="1"/>
  <c r="F38" i="1" l="1"/>
  <c r="F5" i="1"/>
  <c r="F55" i="1" l="1"/>
  <c r="E17" i="1" l="1"/>
  <c r="E16" i="1"/>
  <c r="C17" i="1"/>
  <c r="C15" i="1" s="1"/>
  <c r="C16" i="1"/>
  <c r="C14" i="1" s="1"/>
  <c r="E14" i="1" l="1"/>
  <c r="E15" i="1"/>
  <c r="D16" i="1"/>
  <c r="D14" i="1" s="1"/>
  <c r="D17" i="1"/>
  <c r="D15" i="1" s="1"/>
  <c r="E14" i="2" l="1"/>
  <c r="E11" i="2"/>
  <c r="E21" i="2"/>
  <c r="E18" i="2"/>
  <c r="E12" i="2"/>
  <c r="G51" i="1" l="1"/>
  <c r="G54" i="1"/>
  <c r="G53" i="1"/>
  <c r="G52" i="1"/>
  <c r="D8" i="4" l="1"/>
  <c r="G30" i="1"/>
  <c r="D37" i="1"/>
  <c r="D36" i="1"/>
  <c r="G33" i="1"/>
  <c r="G32" i="1"/>
  <c r="G29" i="1"/>
  <c r="G28" i="1"/>
  <c r="G27" i="1"/>
  <c r="G26" i="1"/>
  <c r="G25" i="1"/>
  <c r="G24" i="1"/>
  <c r="G23" i="1"/>
  <c r="G22" i="1"/>
  <c r="G21" i="1"/>
  <c r="G20" i="1"/>
  <c r="G19" i="1"/>
  <c r="G18" i="1"/>
  <c r="D11" i="1"/>
  <c r="D10" i="1"/>
  <c r="D9" i="1"/>
  <c r="D8" i="1"/>
  <c r="D7" i="1"/>
  <c r="D6" i="1"/>
  <c r="E12" i="1"/>
  <c r="C12" i="1"/>
  <c r="D23" i="4" l="1"/>
  <c r="G16" i="1"/>
  <c r="G17" i="1"/>
  <c r="E13" i="1"/>
  <c r="C13" i="1"/>
  <c r="G37" i="1"/>
  <c r="G10" i="1"/>
  <c r="D13" i="2"/>
  <c r="E13" i="2" s="1"/>
  <c r="G6" i="1"/>
  <c r="G7" i="1"/>
  <c r="G11" i="1"/>
  <c r="G8" i="1"/>
  <c r="G9" i="1"/>
  <c r="D13" i="1"/>
  <c r="D12" i="1"/>
  <c r="E23" i="2"/>
  <c r="D20" i="2"/>
  <c r="E20" i="2" s="1"/>
  <c r="D19" i="2"/>
  <c r="D16" i="2"/>
  <c r="E16" i="2" s="1"/>
  <c r="D15" i="2"/>
  <c r="E15" i="2" s="1"/>
  <c r="D10" i="2"/>
  <c r="E10" i="2" s="1"/>
  <c r="D9" i="2"/>
  <c r="E9" i="2" s="1"/>
  <c r="D8" i="2"/>
  <c r="E8" i="2" s="1"/>
  <c r="D7" i="2"/>
  <c r="E7" i="2" s="1"/>
  <c r="D6" i="2"/>
  <c r="E6" i="2" s="1"/>
  <c r="D5" i="2"/>
  <c r="H16" i="2"/>
  <c r="H23" i="2"/>
  <c r="H19" i="2"/>
  <c r="I19" i="2" s="1"/>
  <c r="I21" i="2"/>
  <c r="H17" i="2"/>
  <c r="H9" i="2"/>
  <c r="I9" i="2" s="1"/>
  <c r="H8" i="2"/>
  <c r="I8" i="2" s="1"/>
  <c r="E5" i="1"/>
  <c r="D5" i="1"/>
  <c r="C5" i="1"/>
  <c r="G14" i="1" l="1"/>
  <c r="G15" i="1"/>
  <c r="E19" i="2"/>
  <c r="D17" i="2"/>
  <c r="E17" i="2" s="1"/>
  <c r="G5" i="1"/>
  <c r="H6" i="2"/>
  <c r="I6" i="2" s="1"/>
  <c r="H7" i="2"/>
  <c r="I7" i="2" s="1"/>
  <c r="H10" i="2"/>
  <c r="I10" i="2" s="1"/>
  <c r="C23" i="4"/>
  <c r="H20" i="2"/>
  <c r="H13" i="2"/>
  <c r="G36" i="1"/>
  <c r="H5" i="2"/>
  <c r="D22" i="4" l="1"/>
  <c r="B22" i="4"/>
  <c r="I20" i="2" l="1"/>
  <c r="H15" i="2"/>
  <c r="I15" i="2" s="1"/>
  <c r="I23" i="2"/>
  <c r="I18" i="2"/>
  <c r="I14" i="2"/>
  <c r="I12" i="2"/>
  <c r="I11" i="2"/>
  <c r="E38" i="1"/>
  <c r="H3" i="2" l="1"/>
  <c r="E55" i="1"/>
  <c r="E57" i="1" s="1"/>
  <c r="C22" i="4"/>
  <c r="B23" i="4"/>
  <c r="E5" i="2"/>
  <c r="G31" i="1"/>
  <c r="D3" i="2" l="1"/>
  <c r="I16" i="2"/>
  <c r="I5" i="2"/>
  <c r="I17" i="2"/>
  <c r="I13" i="2" l="1"/>
  <c r="E3" i="2"/>
  <c r="I3" i="2" l="1"/>
  <c r="G13" i="1" l="1"/>
  <c r="G12" i="1"/>
</calcChain>
</file>

<file path=xl/sharedStrings.xml><?xml version="1.0" encoding="utf-8"?>
<sst xmlns="http://schemas.openxmlformats.org/spreadsheetml/2006/main" count="139" uniqueCount="96">
  <si>
    <t>eurodes</t>
  </si>
  <si>
    <t>Algne eelarve</t>
  </si>
  <si>
    <t>Lõplik eelarve</t>
  </si>
  <si>
    <t>Täitmine miinus lõplik eelarve</t>
  </si>
  <si>
    <t>Saadud toetused</t>
  </si>
  <si>
    <t>Riigilõivud</t>
  </si>
  <si>
    <t>Tulu majandustegevusest</t>
  </si>
  <si>
    <t>sh piirmääraga vahendid</t>
  </si>
  <si>
    <t>KULUD</t>
  </si>
  <si>
    <t xml:space="preserve">INVESTEERINGUD </t>
  </si>
  <si>
    <t>KORRIGEERIMISED</t>
  </si>
  <si>
    <t>Kontroll</t>
  </si>
  <si>
    <t>saldoandmik</t>
  </si>
  <si>
    <t>TULUD</t>
  </si>
  <si>
    <t>Intressikulu pensionieraldistelt</t>
  </si>
  <si>
    <t>Avaliku sektori eripensionid ja pensionisuurendused</t>
  </si>
  <si>
    <t>Kulud</t>
  </si>
  <si>
    <t>Investeeringud</t>
  </si>
  <si>
    <t xml:space="preserve">JAOTAMATA </t>
  </si>
  <si>
    <t>SAP miinus jaotatud</t>
  </si>
  <si>
    <t>FINANTSEERIMISTEHINGUD</t>
  </si>
  <si>
    <t>Tulemusvaldkond: ÕIGUSRIIK</t>
  </si>
  <si>
    <t>Teistelt riigiasutustelt saadud välistoetuste kaasrahastamine</t>
  </si>
  <si>
    <t>Ebatõenäoliselt laekuvad nõuded kajastatakse tulu vähendusena, tulu taastamine</t>
  </si>
  <si>
    <t>Ebatõenäoliselt laekuvad nõuded kajastatakse tulu vähendusena, kulu taastamine</t>
  </si>
  <si>
    <t>Osaluste ümberhindlus</t>
  </si>
  <si>
    <t xml:space="preserve">Lisa </t>
  </si>
  <si>
    <t>Eelarve täitmise ja raamatupidamisaruannete võrdlus</t>
  </si>
  <si>
    <t>Kirje</t>
  </si>
  <si>
    <t>Selgitus</t>
  </si>
  <si>
    <t>Finantstulud</t>
  </si>
  <si>
    <t>Finantskulud</t>
  </si>
  <si>
    <t>3sisesed</t>
  </si>
  <si>
    <t>4,5,6sisesed</t>
  </si>
  <si>
    <t>15ettemaksed</t>
  </si>
  <si>
    <t>Kapitalirendi tagasimaksed</t>
  </si>
  <si>
    <t>Valitsemisala</t>
  </si>
  <si>
    <t>Lõpliku eelarve kujunemine</t>
  </si>
  <si>
    <t>Tulud</t>
  </si>
  <si>
    <t>Esialgne eelarve</t>
  </si>
  <si>
    <t>Üle toodud eelmisest aastast</t>
  </si>
  <si>
    <t>Sihtotstarbeliste vahendite reservist</t>
  </si>
  <si>
    <t>Eelarves kavandatud toetused</t>
  </si>
  <si>
    <t>Tegelikult saadud toetused ja avatud sildfinantseerimine</t>
  </si>
  <si>
    <t>Eelarves kavandatud majandustegevusest laekuv tulu</t>
  </si>
  <si>
    <t>Tegelikult majandustegevusest saadud tulu</t>
  </si>
  <si>
    <t>Eelarves kavandatud muud tuludest sõltuvad kulud</t>
  </si>
  <si>
    <t>Kokku lõplik eelarve</t>
  </si>
  <si>
    <t>Käibemaks</t>
  </si>
  <si>
    <t>Käibemaksukulu tegevuskuludelt</t>
  </si>
  <si>
    <t>Käibemaksukulu finantseerimistehingutelt</t>
  </si>
  <si>
    <t>Muud tulud</t>
  </si>
  <si>
    <t>Teistele valitsemisaladele vahendatud välistoetused (tulu taastamine)</t>
  </si>
  <si>
    <t>Teistele valitsemisaladele vahendatud välistoetused ja kaasrahastamine</t>
  </si>
  <si>
    <t>Eelarves kavandatud välistoetuste kaasrahastamine</t>
  </si>
  <si>
    <t>Tegelik välistoetuste kaasrahastamine</t>
  </si>
  <si>
    <t>sh käibemaks</t>
  </si>
  <si>
    <t>Käibemaksukulu investeeringutelt</t>
  </si>
  <si>
    <t>Tegevuskulud, v.a käibemaksukulu</t>
  </si>
  <si>
    <t>Investeeringud, v.a käibemaksukulu</t>
  </si>
  <si>
    <t>Tulu põhivarade ja varude müügist</t>
  </si>
  <si>
    <t>Kulud, investeeringud</t>
  </si>
  <si>
    <t>Trahvid ja varalised karistused</t>
  </si>
  <si>
    <t>sisene</t>
  </si>
  <si>
    <t>Õiguspoliitika kujundamine ja õigusloome kvaliteedi tagamine</t>
  </si>
  <si>
    <t>Intellektuaalse omandi valdkonna rakendamine</t>
  </si>
  <si>
    <t>Karistuste täideviimise korraldamine</t>
  </si>
  <si>
    <t>Kesksed IT-teenused teistele valitsemisaladele</t>
  </si>
  <si>
    <t>Finantseerimistehingud, v.a käibemaksukulu</t>
  </si>
  <si>
    <t>Kapitaliseeritud töötasud (kulu vähendamine)</t>
  </si>
  <si>
    <t>Kapitaliseeritud töötasud (investeeringu suurendamine)</t>
  </si>
  <si>
    <t>Täitmine 2023</t>
  </si>
  <si>
    <t>Kriminaalpoliitika kujundamine ja elluviimine, sh ennetus</t>
  </si>
  <si>
    <t>Õigusemõistmise, õigusregistrite ja õigusteenuste tagamine</t>
  </si>
  <si>
    <t>Muudatused Vabariigi Valitsuse korralduste alusel</t>
  </si>
  <si>
    <t>Tegelikud muud tuludest sõltuvad kulud</t>
  </si>
  <si>
    <t>Raamatupidamisandmed 2023</t>
  </si>
  <si>
    <t>RE aruanne 2023</t>
  </si>
  <si>
    <t>Vahe 2023</t>
  </si>
  <si>
    <t>2024. aasta riigieelarve täitmise arunne</t>
  </si>
  <si>
    <t>Täitmine 2024</t>
  </si>
  <si>
    <t xml:space="preserve">Osalused avaliku sektori ja sidusüksustes </t>
  </si>
  <si>
    <t>Raamatupidamisandmed 2024</t>
  </si>
  <si>
    <t>RE aruanne 2024</t>
  </si>
  <si>
    <t>Vahe 2024</t>
  </si>
  <si>
    <t>Programm: Usaldusväärne ja tulemuslik õigusruum</t>
  </si>
  <si>
    <t>Muudatused 19.06.2024 lisaeelarve seaduse alusel</t>
  </si>
  <si>
    <t>Muudatused 05.12.2024 riigieelarve seaduse muutmise seaduse alusel</t>
  </si>
  <si>
    <t>Laekumine osaluse likvideerimisest</t>
  </si>
  <si>
    <t>PV ettemaks RV01</t>
  </si>
  <si>
    <t>RV02</t>
  </si>
  <si>
    <t>ebatõenäolised trahvid ja maj. teg. nõuded korrigeerimistes ühes summas</t>
  </si>
  <si>
    <t>JDM</t>
  </si>
  <si>
    <t xml:space="preserve">JUSTIITS- ja DIGIMINISTEERIUMI valitsemisala </t>
  </si>
  <si>
    <t>Fin. tehingud</t>
  </si>
  <si>
    <t>RETA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</si>
</sst>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color theme="1"/>
      <name val="Ariel"/>
      <charset val="186"/>
    </font>
    <font>
      <sz val="10"/>
      <color theme="1"/>
      <name val="Ariel"/>
      <charset val="186"/>
    </font>
    <font>
      <sz val="10"/>
      <name val="Ariel"/>
      <charset val="186"/>
    </font>
    <font>
      <sz val="10"/>
      <color rgb="FFFF0000"/>
      <name val="Ariel"/>
      <charset val="186"/>
    </font>
    <font>
      <b/>
      <sz val="10"/>
      <name val="Ariel"/>
      <charset val="186"/>
    </font>
    <font>
      <b/>
      <sz val="10"/>
      <color rgb="FF0000FF"/>
      <name val="Ariel"/>
      <charset val="186"/>
    </font>
    <font>
      <b/>
      <sz val="10"/>
      <color rgb="FFFF0000"/>
      <name val="Ariel"/>
      <charset val="186"/>
    </font>
    <font>
      <b/>
      <sz val="10"/>
      <color theme="5" tint="-0.499984740745262"/>
      <name val="Ariel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4" fillId="0" borderId="0" xfId="0" applyFont="1"/>
    <xf numFmtId="3" fontId="5" fillId="0" borderId="0" xfId="0" applyNumberFormat="1" applyFont="1"/>
    <xf numFmtId="3" fontId="4" fillId="0" borderId="0" xfId="0" applyNumberFormat="1" applyFont="1"/>
    <xf numFmtId="3" fontId="6" fillId="0" borderId="0" xfId="0" applyNumberFormat="1" applyFont="1"/>
    <xf numFmtId="43" fontId="4" fillId="0" borderId="0" xfId="6" applyFont="1"/>
    <xf numFmtId="43" fontId="4" fillId="0" borderId="0" xfId="6" applyFont="1" applyBorder="1"/>
    <xf numFmtId="0" fontId="4" fillId="0" borderId="1" xfId="0" applyFont="1" applyBorder="1"/>
    <xf numFmtId="3" fontId="3" fillId="0" borderId="0" xfId="0" applyNumberFormat="1" applyFont="1" applyAlignment="1">
      <alignment horizontal="center" wrapText="1"/>
    </xf>
    <xf numFmtId="3" fontId="7" fillId="0" borderId="1" xfId="2" applyNumberFormat="1" applyFont="1" applyBorder="1" applyAlignment="1" applyProtection="1">
      <alignment horizontal="right"/>
      <protection locked="0"/>
    </xf>
    <xf numFmtId="3" fontId="8" fillId="0" borderId="1" xfId="2" applyNumberFormat="1" applyFont="1" applyBorder="1" applyAlignment="1" applyProtection="1">
      <alignment horizontal="right"/>
      <protection locked="0"/>
    </xf>
    <xf numFmtId="3" fontId="4" fillId="2" borderId="1" xfId="2" applyNumberFormat="1" applyFont="1" applyFill="1" applyBorder="1" applyAlignment="1" applyProtection="1">
      <alignment horizontal="right"/>
      <protection locked="0"/>
    </xf>
    <xf numFmtId="3" fontId="4" fillId="0" borderId="1" xfId="2" applyNumberFormat="1" applyFont="1" applyBorder="1" applyAlignment="1" applyProtection="1">
      <alignment horizontal="right"/>
      <protection locked="0"/>
    </xf>
    <xf numFmtId="3" fontId="4" fillId="0" borderId="1" xfId="0" applyNumberFormat="1" applyFont="1" applyBorder="1" applyAlignment="1">
      <alignment horizontal="right"/>
    </xf>
    <xf numFmtId="0" fontId="3" fillId="0" borderId="0" xfId="2" applyFont="1" applyAlignment="1" applyProtection="1">
      <alignment horizontal="left"/>
      <protection locked="0"/>
    </xf>
    <xf numFmtId="0" fontId="3" fillId="0" borderId="1" xfId="2" applyFont="1" applyBorder="1" applyAlignment="1" applyProtection="1">
      <alignment horizontal="left"/>
      <protection locked="0"/>
    </xf>
    <xf numFmtId="3" fontId="7" fillId="2" borderId="1" xfId="2" applyNumberFormat="1" applyFont="1" applyFill="1" applyBorder="1" applyAlignment="1" applyProtection="1">
      <alignment horizontal="right"/>
      <protection locked="0"/>
    </xf>
    <xf numFmtId="3" fontId="3" fillId="0" borderId="0" xfId="0" applyNumberFormat="1" applyFont="1"/>
    <xf numFmtId="0" fontId="5" fillId="0" borderId="1" xfId="2" applyFont="1" applyBorder="1" applyAlignment="1" applyProtection="1">
      <alignment horizontal="center"/>
      <protection locked="0"/>
    </xf>
    <xf numFmtId="0" fontId="4" fillId="0" borderId="1" xfId="2" applyFont="1" applyBorder="1" applyAlignment="1" applyProtection="1">
      <alignment horizontal="left"/>
      <protection locked="0"/>
    </xf>
    <xf numFmtId="3" fontId="5" fillId="2" borderId="1" xfId="2" applyNumberFormat="1" applyFont="1" applyFill="1" applyBorder="1" applyAlignment="1" applyProtection="1">
      <alignment horizontal="right"/>
      <protection locked="0"/>
    </xf>
    <xf numFmtId="3" fontId="5" fillId="0" borderId="1" xfId="2" applyNumberFormat="1" applyFont="1" applyBorder="1" applyAlignment="1" applyProtection="1">
      <alignment horizontal="right"/>
      <protection locked="0"/>
    </xf>
    <xf numFmtId="3" fontId="5" fillId="0" borderId="1" xfId="0" applyNumberFormat="1" applyFont="1" applyBorder="1" applyAlignment="1">
      <alignment horizontal="right"/>
    </xf>
    <xf numFmtId="0" fontId="4" fillId="0" borderId="0" xfId="2" applyFont="1" applyAlignment="1" applyProtection="1">
      <alignment horizontal="left"/>
      <protection locked="0"/>
    </xf>
    <xf numFmtId="43" fontId="9" fillId="0" borderId="0" xfId="6" applyFont="1"/>
    <xf numFmtId="43" fontId="4" fillId="0" borderId="0" xfId="6" applyFont="1" applyAlignment="1">
      <alignment wrapText="1"/>
    </xf>
    <xf numFmtId="43" fontId="6" fillId="0" borderId="0" xfId="6" applyFont="1" applyAlignment="1">
      <alignment wrapText="1"/>
    </xf>
    <xf numFmtId="0" fontId="4" fillId="0" borderId="1" xfId="0" applyFont="1" applyBorder="1" applyProtection="1">
      <protection locked="0"/>
    </xf>
    <xf numFmtId="0" fontId="4" fillId="0" borderId="0" xfId="0" applyFont="1" applyProtection="1">
      <protection locked="0"/>
    </xf>
    <xf numFmtId="0" fontId="3" fillId="0" borderId="1" xfId="4" applyFont="1" applyBorder="1" applyAlignment="1" applyProtection="1">
      <alignment horizontal="left"/>
      <protection locked="0"/>
    </xf>
    <xf numFmtId="0" fontId="3" fillId="0" borderId="0" xfId="4" applyFont="1" applyAlignment="1" applyProtection="1">
      <alignment horizontal="left"/>
      <protection locked="0"/>
    </xf>
    <xf numFmtId="0" fontId="4" fillId="0" borderId="1" xfId="4" applyFont="1" applyBorder="1" applyAlignment="1" applyProtection="1">
      <alignment horizontal="left"/>
      <protection locked="0"/>
    </xf>
    <xf numFmtId="0" fontId="4" fillId="0" borderId="0" xfId="4" applyFont="1" applyAlignment="1" applyProtection="1">
      <alignment horizontal="left"/>
      <protection locked="0"/>
    </xf>
    <xf numFmtId="43" fontId="5" fillId="0" borderId="2" xfId="6" applyFont="1" applyFill="1" applyBorder="1" applyAlignment="1" applyProtection="1">
      <alignment horizontal="right"/>
      <protection locked="0"/>
    </xf>
    <xf numFmtId="43" fontId="5" fillId="0" borderId="0" xfId="6" applyFont="1" applyFill="1" applyBorder="1" applyAlignment="1" applyProtection="1">
      <alignment horizontal="right"/>
      <protection locked="0"/>
    </xf>
    <xf numFmtId="0" fontId="3" fillId="0" borderId="1" xfId="1" applyFont="1" applyBorder="1" applyAlignment="1" applyProtection="1">
      <alignment horizontal="left"/>
      <protection locked="0"/>
    </xf>
    <xf numFmtId="43" fontId="6" fillId="0" borderId="0" xfId="6" applyFont="1"/>
    <xf numFmtId="0" fontId="3" fillId="0" borderId="0" xfId="1" applyFont="1" applyAlignment="1" applyProtection="1">
      <alignment horizontal="left"/>
      <protection locked="0"/>
    </xf>
    <xf numFmtId="0" fontId="4" fillId="0" borderId="1" xfId="1" applyFont="1" applyBorder="1" applyAlignment="1" applyProtection="1">
      <alignment horizontal="left"/>
      <protection locked="0"/>
    </xf>
    <xf numFmtId="43" fontId="5" fillId="0" borderId="0" xfId="6" applyFont="1" applyAlignment="1">
      <alignment wrapText="1"/>
    </xf>
    <xf numFmtId="0" fontId="4" fillId="0" borderId="0" xfId="1" applyFont="1" applyAlignment="1" applyProtection="1">
      <alignment horizontal="left"/>
      <protection locked="0"/>
    </xf>
    <xf numFmtId="0" fontId="4" fillId="0" borderId="1" xfId="1" applyFont="1" applyBorder="1"/>
    <xf numFmtId="0" fontId="5" fillId="0" borderId="1" xfId="1" applyFont="1" applyBorder="1" applyAlignment="1" applyProtection="1">
      <alignment horizontal="center"/>
      <protection locked="0"/>
    </xf>
    <xf numFmtId="3" fontId="5" fillId="0" borderId="1" xfId="1" applyNumberFormat="1" applyFont="1" applyBorder="1" applyAlignment="1" applyProtection="1">
      <alignment horizontal="right"/>
      <protection locked="0"/>
    </xf>
    <xf numFmtId="3" fontId="5" fillId="2" borderId="1" xfId="1" applyNumberFormat="1" applyFont="1" applyFill="1" applyBorder="1" applyAlignment="1" applyProtection="1">
      <alignment horizontal="right"/>
      <protection locked="0"/>
    </xf>
    <xf numFmtId="0" fontId="4" fillId="3" borderId="0" xfId="0" applyFont="1" applyFill="1" applyAlignment="1">
      <alignment horizontal="center"/>
    </xf>
    <xf numFmtId="0" fontId="4" fillId="4" borderId="1" xfId="0" applyFont="1" applyFill="1" applyBorder="1"/>
    <xf numFmtId="3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3" fontId="3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left"/>
    </xf>
    <xf numFmtId="3" fontId="10" fillId="0" borderId="1" xfId="0" applyNumberFormat="1" applyFont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3" fontId="7" fillId="4" borderId="1" xfId="0" applyNumberFormat="1" applyFont="1" applyFill="1" applyBorder="1" applyAlignment="1">
      <alignment horizontal="right"/>
    </xf>
    <xf numFmtId="3" fontId="10" fillId="4" borderId="1" xfId="0" applyNumberFormat="1" applyFont="1" applyFill="1" applyBorder="1" applyAlignment="1">
      <alignment horizontal="right"/>
    </xf>
    <xf numFmtId="3" fontId="3" fillId="4" borderId="1" xfId="2" applyNumberFormat="1" applyFont="1" applyFill="1" applyBorder="1" applyAlignment="1" applyProtection="1">
      <alignment horizontal="right"/>
      <protection locked="0"/>
    </xf>
    <xf numFmtId="3" fontId="3" fillId="4" borderId="1" xfId="0" applyNumberFormat="1" applyFont="1" applyFill="1" applyBorder="1" applyAlignment="1">
      <alignment horizontal="right"/>
    </xf>
    <xf numFmtId="0" fontId="7" fillId="0" borderId="0" xfId="0" applyFont="1"/>
    <xf numFmtId="4" fontId="5" fillId="0" borderId="0" xfId="0" applyNumberFormat="1" applyFont="1" applyAlignment="1">
      <alignment horizontal="right"/>
    </xf>
    <xf numFmtId="4" fontId="5" fillId="0" borderId="0" xfId="0" applyNumberFormat="1" applyFont="1"/>
    <xf numFmtId="4" fontId="5" fillId="0" borderId="0" xfId="0" applyNumberFormat="1" applyFont="1" applyAlignment="1">
      <alignment wrapText="1"/>
    </xf>
    <xf numFmtId="4" fontId="4" fillId="0" borderId="0" xfId="0" applyNumberFormat="1" applyFont="1" applyAlignment="1">
      <alignment wrapText="1"/>
    </xf>
    <xf numFmtId="4" fontId="6" fillId="0" borderId="0" xfId="0" applyNumberFormat="1" applyFont="1" applyAlignment="1">
      <alignment wrapText="1"/>
    </xf>
    <xf numFmtId="4" fontId="4" fillId="0" borderId="0" xfId="0" applyNumberFormat="1" applyFont="1"/>
    <xf numFmtId="4" fontId="4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/>
    </xf>
    <xf numFmtId="0" fontId="5" fillId="0" borderId="0" xfId="0" applyFont="1"/>
    <xf numFmtId="0" fontId="7" fillId="4" borderId="1" xfId="0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0" fontId="5" fillId="0" borderId="1" xfId="0" applyFont="1" applyBorder="1"/>
    <xf numFmtId="4" fontId="5" fillId="2" borderId="1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top"/>
    </xf>
    <xf numFmtId="3" fontId="5" fillId="0" borderId="1" xfId="0" applyNumberFormat="1" applyFont="1" applyBorder="1"/>
    <xf numFmtId="3" fontId="5" fillId="2" borderId="1" xfId="0" applyNumberFormat="1" applyFont="1" applyFill="1" applyBorder="1"/>
    <xf numFmtId="3" fontId="5" fillId="0" borderId="1" xfId="0" applyNumberFormat="1" applyFont="1" applyBorder="1" applyAlignment="1">
      <alignment vertical="top"/>
    </xf>
    <xf numFmtId="3" fontId="5" fillId="2" borderId="1" xfId="0" applyNumberFormat="1" applyFont="1" applyFill="1" applyBorder="1" applyAlignment="1">
      <alignment vertical="top"/>
    </xf>
    <xf numFmtId="4" fontId="5" fillId="0" borderId="0" xfId="0" quotePrefix="1" applyNumberFormat="1" applyFont="1"/>
    <xf numFmtId="4" fontId="5" fillId="2" borderId="0" xfId="0" applyNumberFormat="1" applyFont="1" applyFill="1"/>
    <xf numFmtId="0" fontId="5" fillId="2" borderId="1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3" fontId="7" fillId="0" borderId="1" xfId="0" applyNumberFormat="1" applyFont="1" applyBorder="1" applyAlignment="1">
      <alignment vertical="top"/>
    </xf>
    <xf numFmtId="3" fontId="7" fillId="2" borderId="1" xfId="0" applyNumberFormat="1" applyFont="1" applyFill="1" applyBorder="1" applyAlignment="1">
      <alignment vertical="top"/>
    </xf>
    <xf numFmtId="3" fontId="4" fillId="0" borderId="0" xfId="0" quotePrefix="1" applyNumberFormat="1" applyFont="1"/>
    <xf numFmtId="164" fontId="4" fillId="0" borderId="0" xfId="0" applyNumberFormat="1" applyFont="1"/>
    <xf numFmtId="0" fontId="4" fillId="2" borderId="0" xfId="0" applyFont="1" applyFill="1"/>
    <xf numFmtId="3" fontId="7" fillId="4" borderId="1" xfId="0" applyNumberFormat="1" applyFont="1" applyFill="1" applyBorder="1" applyAlignment="1">
      <alignment horizontal="center" vertical="center" wrapText="1"/>
    </xf>
    <xf numFmtId="3" fontId="5" fillId="0" borderId="0" xfId="2" applyNumberFormat="1" applyFont="1" applyBorder="1" applyAlignment="1" applyProtection="1">
      <alignment horizontal="right" wrapText="1"/>
      <protection locked="0"/>
    </xf>
  </cellXfs>
  <cellStyles count="8">
    <cellStyle name="Comma 2" xfId="7" xr:uid="{68AF3142-48B6-46A0-9B66-4AC016C8CCBB}"/>
    <cellStyle name="Koma" xfId="6" builtinId="3"/>
    <cellStyle name="Normaallaad" xfId="0" builtinId="0"/>
    <cellStyle name="Normaallaad 2" xfId="5" xr:uid="{625F7053-1720-45B8-BC60-DA405838C2BD}"/>
    <cellStyle name="Normal 10 2" xfId="1" xr:uid="{D70F4CDE-1FE7-448C-B78C-16802263EF7D}"/>
    <cellStyle name="Normal 25 3 6" xfId="4" xr:uid="{C2461F04-5869-445E-B9DC-9D0918BE1F25}"/>
    <cellStyle name="Normal 25 9" xfId="2" xr:uid="{8906365B-27A6-4989-AF6D-1E0C5258DC94}"/>
    <cellStyle name="Normal 25 9 2" xfId="3" xr:uid="{9FD4BB3A-C968-4E24-8E39-E7D1D70EB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09F5C-00A4-4BD3-B743-9BFC60E719C1}">
  <dimension ref="A1:Q57"/>
  <sheetViews>
    <sheetView tabSelected="1" zoomScaleNormal="100" workbookViewId="0">
      <selection activeCell="C1" sqref="C1"/>
    </sheetView>
  </sheetViews>
  <sheetFormatPr defaultRowHeight="13.2"/>
  <cols>
    <col min="1" max="1" width="7.44140625" style="2" customWidth="1"/>
    <col min="2" max="2" width="53.44140625" style="2" customWidth="1"/>
    <col min="3" max="7" width="22" style="4" customWidth="1"/>
    <col min="8" max="8" width="58.44140625" style="6" customWidth="1"/>
    <col min="9" max="9" width="36.88671875" style="6" customWidth="1"/>
    <col min="10" max="11" width="18.88671875" style="7" customWidth="1"/>
    <col min="12" max="12" width="44.5546875" style="2" customWidth="1"/>
    <col min="13" max="13" width="13.44140625" style="2" bestFit="1" customWidth="1"/>
    <col min="14" max="14" width="13.44140625" style="2" customWidth="1"/>
    <col min="15" max="15" width="13" style="2" customWidth="1"/>
    <col min="16" max="16" width="13.5546875" style="2" customWidth="1"/>
    <col min="17" max="17" width="13.6640625" style="2" customWidth="1"/>
    <col min="18" max="31" width="9.109375" style="2"/>
    <col min="32" max="16384" width="8.88671875" style="2"/>
  </cols>
  <sheetData>
    <row r="1" spans="1:17">
      <c r="A1" s="1" t="s">
        <v>79</v>
      </c>
      <c r="C1" s="3"/>
      <c r="E1" s="5"/>
      <c r="L1" s="1"/>
    </row>
    <row r="2" spans="1:17">
      <c r="A2" s="2" t="s">
        <v>0</v>
      </c>
      <c r="C2" s="3"/>
    </row>
    <row r="3" spans="1:17" ht="26.4">
      <c r="A3" s="47"/>
      <c r="B3" s="49"/>
      <c r="C3" s="48" t="s">
        <v>1</v>
      </c>
      <c r="D3" s="48" t="s">
        <v>2</v>
      </c>
      <c r="E3" s="48" t="s">
        <v>80</v>
      </c>
      <c r="F3" s="48" t="s">
        <v>71</v>
      </c>
      <c r="G3" s="48" t="s">
        <v>3</v>
      </c>
      <c r="M3" s="9"/>
      <c r="N3" s="9"/>
      <c r="O3" s="9"/>
      <c r="P3" s="9"/>
      <c r="Q3" s="9"/>
    </row>
    <row r="4" spans="1:17">
      <c r="A4" s="16" t="s">
        <v>93</v>
      </c>
      <c r="B4" s="16"/>
      <c r="C4" s="10"/>
      <c r="D4" s="11"/>
      <c r="E4" s="12"/>
      <c r="F4" s="13"/>
      <c r="G4" s="14"/>
      <c r="L4" s="15"/>
      <c r="M4" s="4"/>
      <c r="N4" s="4"/>
      <c r="O4" s="4"/>
      <c r="P4" s="4"/>
      <c r="Q4" s="4"/>
    </row>
    <row r="5" spans="1:17">
      <c r="A5" s="16" t="s">
        <v>13</v>
      </c>
      <c r="B5" s="16"/>
      <c r="C5" s="17">
        <f t="shared" ref="C5:E5" si="0">SUM(C6:C11)</f>
        <v>45114253</v>
      </c>
      <c r="D5" s="10">
        <f t="shared" si="0"/>
        <v>45114253</v>
      </c>
      <c r="E5" s="10">
        <f t="shared" si="0"/>
        <v>52809198.369999997</v>
      </c>
      <c r="F5" s="10">
        <f t="shared" ref="F5" si="1">SUM(F6:F11)</f>
        <v>53880697.119999997</v>
      </c>
      <c r="G5" s="10">
        <f>SUM(G6:G11)</f>
        <v>7694945.3700000001</v>
      </c>
      <c r="L5" s="15"/>
      <c r="M5" s="18"/>
      <c r="N5" s="18"/>
      <c r="O5" s="18"/>
      <c r="P5" s="18"/>
      <c r="Q5" s="18"/>
    </row>
    <row r="6" spans="1:17">
      <c r="A6" s="19"/>
      <c r="B6" s="20" t="s">
        <v>5</v>
      </c>
      <c r="C6" s="21">
        <v>29235293</v>
      </c>
      <c r="D6" s="22">
        <f>C6</f>
        <v>29235293</v>
      </c>
      <c r="E6" s="21">
        <v>31706829.75</v>
      </c>
      <c r="F6" s="22">
        <v>31129866.690000001</v>
      </c>
      <c r="G6" s="23">
        <f t="shared" ref="G6:G11" si="2">E6-D6</f>
        <v>2471536.75</v>
      </c>
      <c r="L6" s="24"/>
      <c r="M6" s="4"/>
      <c r="N6" s="4"/>
      <c r="O6" s="4"/>
      <c r="P6" s="4"/>
      <c r="Q6" s="4"/>
    </row>
    <row r="7" spans="1:17">
      <c r="A7" s="19"/>
      <c r="B7" s="20" t="s">
        <v>6</v>
      </c>
      <c r="C7" s="21">
        <v>2935255</v>
      </c>
      <c r="D7" s="22">
        <f t="shared" ref="D7:D11" si="3">C7</f>
        <v>2935255</v>
      </c>
      <c r="E7" s="21">
        <f>6338309.47+1486.71-1442.68</f>
        <v>6338353.5</v>
      </c>
      <c r="F7" s="22">
        <f>4150293.85+3211.72-1039.59</f>
        <v>4152465.9800000004</v>
      </c>
      <c r="G7" s="23">
        <f t="shared" si="2"/>
        <v>3403098.5</v>
      </c>
      <c r="H7" s="101"/>
      <c r="I7" s="25"/>
      <c r="L7" s="24"/>
      <c r="M7" s="4"/>
      <c r="N7" s="4"/>
      <c r="O7" s="4"/>
      <c r="P7" s="4"/>
      <c r="Q7" s="4"/>
    </row>
    <row r="8" spans="1:17">
      <c r="A8" s="19"/>
      <c r="B8" s="20" t="s">
        <v>4</v>
      </c>
      <c r="C8" s="21">
        <v>3170750</v>
      </c>
      <c r="D8" s="22">
        <f t="shared" si="3"/>
        <v>3170750</v>
      </c>
      <c r="E8" s="21">
        <f>4440273.25-1073416.11-221883.12</f>
        <v>3144974.0199999996</v>
      </c>
      <c r="F8" s="22">
        <f>8269394.51-1704957.75-583988.44-62562.04</f>
        <v>5917886.2800000003</v>
      </c>
      <c r="G8" s="23">
        <f t="shared" si="2"/>
        <v>-25775.980000000447</v>
      </c>
      <c r="H8" s="26"/>
      <c r="I8" s="27"/>
      <c r="L8" s="24"/>
      <c r="M8" s="4"/>
      <c r="N8" s="4"/>
      <c r="O8" s="4"/>
      <c r="P8" s="4"/>
      <c r="Q8" s="4"/>
    </row>
    <row r="9" spans="1:17">
      <c r="A9" s="19"/>
      <c r="B9" s="20" t="s">
        <v>60</v>
      </c>
      <c r="C9" s="21">
        <v>0</v>
      </c>
      <c r="D9" s="22">
        <f t="shared" si="3"/>
        <v>0</v>
      </c>
      <c r="E9" s="21">
        <v>1685.5</v>
      </c>
      <c r="F9" s="22">
        <v>1074.6600000000001</v>
      </c>
      <c r="G9" s="23">
        <f t="shared" si="2"/>
        <v>1685.5</v>
      </c>
      <c r="L9" s="24"/>
      <c r="M9" s="4"/>
      <c r="N9" s="4"/>
      <c r="O9" s="4"/>
      <c r="P9" s="4"/>
      <c r="Q9" s="4"/>
    </row>
    <row r="10" spans="1:17">
      <c r="A10" s="19"/>
      <c r="B10" s="20" t="s">
        <v>62</v>
      </c>
      <c r="C10" s="21">
        <v>861173</v>
      </c>
      <c r="D10" s="22">
        <f t="shared" si="3"/>
        <v>861173</v>
      </c>
      <c r="E10" s="21">
        <v>4451348.3899999997</v>
      </c>
      <c r="F10" s="22">
        <f>1597294.97+10000</f>
        <v>1607294.97</v>
      </c>
      <c r="G10" s="23">
        <f t="shared" si="2"/>
        <v>3590175.3899999997</v>
      </c>
      <c r="L10" s="24"/>
      <c r="M10" s="4"/>
      <c r="N10" s="4"/>
      <c r="O10" s="4"/>
      <c r="P10" s="4"/>
      <c r="Q10" s="4"/>
    </row>
    <row r="11" spans="1:17">
      <c r="A11" s="19"/>
      <c r="B11" s="20" t="s">
        <v>51</v>
      </c>
      <c r="C11" s="21">
        <v>8911782</v>
      </c>
      <c r="D11" s="22">
        <f t="shared" si="3"/>
        <v>8911782</v>
      </c>
      <c r="E11" s="21">
        <f>5657833.49+1507781.88+391.84</f>
        <v>7166007.21</v>
      </c>
      <c r="F11" s="22">
        <f>9647706.43+1417152.91+254.4+6994.8</f>
        <v>11072108.540000001</v>
      </c>
      <c r="G11" s="23">
        <f t="shared" si="2"/>
        <v>-1745774.79</v>
      </c>
      <c r="L11" s="24"/>
      <c r="M11" s="4"/>
      <c r="N11" s="4"/>
      <c r="O11" s="4"/>
      <c r="P11" s="4"/>
      <c r="Q11" s="4"/>
    </row>
    <row r="12" spans="1:17">
      <c r="A12" s="16" t="s">
        <v>8</v>
      </c>
      <c r="B12" s="16"/>
      <c r="C12" s="17">
        <f>C14+C30+C51</f>
        <v>-230846309</v>
      </c>
      <c r="D12" s="17">
        <f>D14+D30+D51</f>
        <v>-247507949.62</v>
      </c>
      <c r="E12" s="17">
        <f>E14+E30+E51</f>
        <v>-225307619.37</v>
      </c>
      <c r="F12" s="10">
        <f>F14+F30+F51</f>
        <v>-221566500.25</v>
      </c>
      <c r="G12" s="10">
        <f>G14+G30+G51</f>
        <v>22200330.250000015</v>
      </c>
      <c r="L12" s="15"/>
      <c r="M12" s="18"/>
      <c r="N12" s="18"/>
      <c r="O12" s="18"/>
      <c r="P12" s="18"/>
      <c r="Q12" s="18"/>
    </row>
    <row r="13" spans="1:17">
      <c r="A13" s="19"/>
      <c r="B13" s="20" t="s">
        <v>7</v>
      </c>
      <c r="C13" s="21">
        <f>C15+C52</f>
        <v>-172194317</v>
      </c>
      <c r="D13" s="21">
        <f>D15+D52</f>
        <v>-181257425.40000001</v>
      </c>
      <c r="E13" s="21">
        <f>E15+E52</f>
        <v>-168131343.09</v>
      </c>
      <c r="F13" s="22">
        <f>F15+F52</f>
        <v>-168241667.08000001</v>
      </c>
      <c r="G13" s="22">
        <f>G15+G52</f>
        <v>13126082.309999995</v>
      </c>
      <c r="L13" s="24"/>
      <c r="M13" s="4"/>
      <c r="N13" s="4"/>
      <c r="O13" s="4"/>
      <c r="P13" s="4"/>
      <c r="Q13" s="4"/>
    </row>
    <row r="14" spans="1:17">
      <c r="A14" s="16" t="s">
        <v>21</v>
      </c>
      <c r="B14" s="16"/>
      <c r="C14" s="10">
        <f>C16</f>
        <v>-218264761</v>
      </c>
      <c r="D14" s="10">
        <f t="shared" ref="D14:G14" si="4">D16</f>
        <v>-235791229.91</v>
      </c>
      <c r="E14" s="10">
        <f t="shared" si="4"/>
        <v>-215421972.38000003</v>
      </c>
      <c r="F14" s="10">
        <f t="shared" ref="F14" si="5">F16</f>
        <v>-212310564.59999999</v>
      </c>
      <c r="G14" s="10">
        <f t="shared" si="4"/>
        <v>20369257.530000001</v>
      </c>
      <c r="L14" s="15"/>
      <c r="M14" s="18"/>
      <c r="N14" s="18"/>
      <c r="O14" s="18"/>
      <c r="P14" s="18"/>
      <c r="Q14" s="18"/>
    </row>
    <row r="15" spans="1:17">
      <c r="A15" s="16"/>
      <c r="B15" s="20" t="s">
        <v>7</v>
      </c>
      <c r="C15" s="22">
        <f>C17</f>
        <v>-172194317</v>
      </c>
      <c r="D15" s="22">
        <f t="shared" ref="D15:G15" si="6">D17</f>
        <v>-181257425.56999999</v>
      </c>
      <c r="E15" s="22">
        <f t="shared" si="6"/>
        <v>-168131343.09</v>
      </c>
      <c r="F15" s="22">
        <f t="shared" ref="F15" si="7">F17</f>
        <v>-168241667.08000001</v>
      </c>
      <c r="G15" s="22">
        <f t="shared" si="6"/>
        <v>13126082.479999995</v>
      </c>
      <c r="L15" s="24"/>
      <c r="M15" s="4"/>
      <c r="N15" s="4"/>
      <c r="O15" s="4"/>
      <c r="P15" s="4"/>
      <c r="Q15" s="4"/>
    </row>
    <row r="16" spans="1:17">
      <c r="A16" s="16" t="s">
        <v>85</v>
      </c>
      <c r="B16" s="16"/>
      <c r="C16" s="10">
        <f>C18+C20+C22+C24+C26+C28</f>
        <v>-218264761</v>
      </c>
      <c r="D16" s="10">
        <f t="shared" ref="D16:G16" si="8">D18+D20+D22+D24+D26+D28</f>
        <v>-235791229.91</v>
      </c>
      <c r="E16" s="10">
        <f t="shared" si="8"/>
        <v>-215421972.38000003</v>
      </c>
      <c r="F16" s="10">
        <f t="shared" ref="F16" si="9">F18+F20+F22+F24+F26+F28</f>
        <v>-212310564.59999999</v>
      </c>
      <c r="G16" s="10">
        <f t="shared" si="8"/>
        <v>20369257.530000001</v>
      </c>
      <c r="L16" s="15"/>
      <c r="M16" s="18"/>
      <c r="N16" s="18"/>
      <c r="O16" s="18"/>
      <c r="P16" s="18"/>
      <c r="Q16" s="18"/>
    </row>
    <row r="17" spans="1:17">
      <c r="A17" s="16"/>
      <c r="B17" s="20" t="s">
        <v>7</v>
      </c>
      <c r="C17" s="22">
        <f>C19+C21+C23+C25+C27+C29</f>
        <v>-172194317</v>
      </c>
      <c r="D17" s="22">
        <f t="shared" ref="D17:G17" si="10">D19+D21+D23+D25+D27+D29</f>
        <v>-181257425.56999999</v>
      </c>
      <c r="E17" s="22">
        <f t="shared" si="10"/>
        <v>-168131343.09</v>
      </c>
      <c r="F17" s="22">
        <f t="shared" ref="F17" si="11">F19+F21+F23+F25+F27+F29</f>
        <v>-168241667.08000001</v>
      </c>
      <c r="G17" s="22">
        <f t="shared" si="10"/>
        <v>13126082.479999995</v>
      </c>
      <c r="L17" s="24"/>
      <c r="M17" s="4"/>
      <c r="N17" s="4"/>
      <c r="O17" s="4"/>
      <c r="P17" s="4"/>
      <c r="Q17" s="4"/>
    </row>
    <row r="18" spans="1:17">
      <c r="A18" s="28" t="s">
        <v>64</v>
      </c>
      <c r="B18" s="20"/>
      <c r="C18" s="22">
        <v>-9479677</v>
      </c>
      <c r="D18" s="21">
        <f>C18-29166-100504+58786-2019812.81</f>
        <v>-11570373.810000001</v>
      </c>
      <c r="E18" s="21">
        <v>-7890200.2999999998</v>
      </c>
      <c r="F18" s="21">
        <v>-10277032.220000001</v>
      </c>
      <c r="G18" s="23">
        <f t="shared" ref="G18:G29" si="12">E18-D18</f>
        <v>3680173.5100000007</v>
      </c>
      <c r="L18" s="29"/>
      <c r="M18" s="4"/>
      <c r="N18" s="4"/>
      <c r="O18" s="4"/>
      <c r="P18" s="4"/>
      <c r="Q18" s="4"/>
    </row>
    <row r="19" spans="1:17">
      <c r="A19" s="28"/>
      <c r="B19" s="20" t="s">
        <v>7</v>
      </c>
      <c r="C19" s="22">
        <v>-9328357</v>
      </c>
      <c r="D19" s="21">
        <f>C19-29166-100504-1514435.7</f>
        <v>-10972462.699999999</v>
      </c>
      <c r="E19" s="21">
        <v>-7617422.6500000004</v>
      </c>
      <c r="F19" s="21">
        <v>-10071388</v>
      </c>
      <c r="G19" s="23">
        <f t="shared" si="12"/>
        <v>3355040.0499999989</v>
      </c>
      <c r="L19" s="24"/>
      <c r="M19" s="4"/>
      <c r="N19" s="4"/>
      <c r="O19" s="4"/>
      <c r="P19" s="4"/>
      <c r="Q19" s="4"/>
    </row>
    <row r="20" spans="1:17">
      <c r="A20" s="28" t="s">
        <v>65</v>
      </c>
      <c r="B20" s="20"/>
      <c r="C20" s="22">
        <v>-4903599</v>
      </c>
      <c r="D20" s="21">
        <f>C20-12774+926918-2250829.54+1</f>
        <v>-6240283.54</v>
      </c>
      <c r="E20" s="21">
        <v>-4630913.57</v>
      </c>
      <c r="F20" s="21">
        <v>-4563214.38</v>
      </c>
      <c r="G20" s="23">
        <f t="shared" si="12"/>
        <v>1609369.9699999997</v>
      </c>
      <c r="L20" s="29"/>
      <c r="M20" s="4"/>
      <c r="N20" s="4"/>
      <c r="O20" s="4"/>
      <c r="P20" s="4"/>
      <c r="Q20" s="4"/>
    </row>
    <row r="21" spans="1:17">
      <c r="A21" s="28"/>
      <c r="B21" s="20" t="s">
        <v>7</v>
      </c>
      <c r="C21" s="22">
        <v>-2381094</v>
      </c>
      <c r="D21" s="21">
        <f>C21-12774-204685.73</f>
        <v>-2598553.73</v>
      </c>
      <c r="E21" s="21">
        <v>-2076177.69</v>
      </c>
      <c r="F21" s="21">
        <v>-2090488</v>
      </c>
      <c r="G21" s="23">
        <f t="shared" si="12"/>
        <v>522376.04000000004</v>
      </c>
      <c r="L21" s="24"/>
      <c r="M21" s="4"/>
      <c r="N21" s="4"/>
      <c r="O21" s="4"/>
      <c r="P21" s="4"/>
      <c r="Q21" s="4"/>
    </row>
    <row r="22" spans="1:17">
      <c r="A22" s="28" t="s">
        <v>72</v>
      </c>
      <c r="B22" s="20"/>
      <c r="C22" s="22">
        <v>-39541408</v>
      </c>
      <c r="D22" s="21">
        <f>C22+2514491+528400+2724775-9041639.75</f>
        <v>-42815381.75</v>
      </c>
      <c r="E22" s="21">
        <v>-38713964.210000001</v>
      </c>
      <c r="F22" s="21">
        <v>-37476315</v>
      </c>
      <c r="G22" s="23">
        <f t="shared" si="12"/>
        <v>4101417.5399999991</v>
      </c>
      <c r="L22" s="29"/>
      <c r="M22" s="4"/>
      <c r="N22" s="4"/>
      <c r="O22" s="4"/>
      <c r="P22" s="4"/>
      <c r="Q22" s="4"/>
    </row>
    <row r="23" spans="1:17">
      <c r="A23" s="28"/>
      <c r="B23" s="20" t="s">
        <v>7</v>
      </c>
      <c r="C23" s="22">
        <v>-27153250</v>
      </c>
      <c r="D23" s="21">
        <f>C23+2514491+528400-3160188.64</f>
        <v>-27270547.640000001</v>
      </c>
      <c r="E23" s="21">
        <v>-26302862.379999999</v>
      </c>
      <c r="F23" s="21">
        <v>-24518345</v>
      </c>
      <c r="G23" s="23">
        <f t="shared" si="12"/>
        <v>967685.26000000164</v>
      </c>
      <c r="L23" s="24"/>
      <c r="M23" s="4"/>
      <c r="N23" s="4"/>
      <c r="O23" s="4"/>
      <c r="P23" s="4"/>
      <c r="Q23" s="4"/>
    </row>
    <row r="24" spans="1:17">
      <c r="A24" s="28" t="s">
        <v>66</v>
      </c>
      <c r="B24" s="20"/>
      <c r="C24" s="22">
        <v>-76638407</v>
      </c>
      <c r="D24" s="21">
        <f>C24+78845+1588581-8695040.89</f>
        <v>-83666021.890000001</v>
      </c>
      <c r="E24" s="21">
        <v>-77891852.890000001</v>
      </c>
      <c r="F24" s="21">
        <v>-78321139</v>
      </c>
      <c r="G24" s="23">
        <f t="shared" si="12"/>
        <v>5774169</v>
      </c>
      <c r="L24" s="29"/>
      <c r="M24" s="4"/>
      <c r="N24" s="4"/>
      <c r="O24" s="4"/>
      <c r="P24" s="4"/>
      <c r="Q24" s="4"/>
    </row>
    <row r="25" spans="1:17">
      <c r="A25" s="28"/>
      <c r="B25" s="20" t="s">
        <v>7</v>
      </c>
      <c r="C25" s="22">
        <v>-74518942</v>
      </c>
      <c r="D25" s="21">
        <f>C25+78845-4593727.19</f>
        <v>-79033824.189999998</v>
      </c>
      <c r="E25" s="21">
        <v>-74643995.650000006</v>
      </c>
      <c r="F25" s="21">
        <v>-76713323</v>
      </c>
      <c r="G25" s="23">
        <f t="shared" si="12"/>
        <v>4389828.5399999917</v>
      </c>
      <c r="L25" s="24"/>
      <c r="M25" s="4"/>
      <c r="N25" s="4"/>
      <c r="O25" s="4"/>
      <c r="P25" s="4"/>
      <c r="Q25" s="4"/>
    </row>
    <row r="26" spans="1:17">
      <c r="A26" s="28" t="s">
        <v>73</v>
      </c>
      <c r="B26" s="20"/>
      <c r="C26" s="22">
        <v>-85581265</v>
      </c>
      <c r="D26" s="21">
        <f>C26+1391054+27731+616591+1968423-7075759.01</f>
        <v>-88653225.010000005</v>
      </c>
      <c r="E26" s="21">
        <v>-84106413.510000005</v>
      </c>
      <c r="F26" s="21">
        <v>-79425374</v>
      </c>
      <c r="G26" s="23">
        <f t="shared" si="12"/>
        <v>4546811.5</v>
      </c>
      <c r="L26" s="29"/>
      <c r="M26" s="4"/>
      <c r="N26" s="4"/>
      <c r="O26" s="4"/>
      <c r="P26" s="4"/>
      <c r="Q26" s="4"/>
    </row>
    <row r="27" spans="1:17">
      <c r="A27" s="28"/>
      <c r="B27" s="20" t="s">
        <v>7</v>
      </c>
      <c r="C27" s="22">
        <v>-57124051</v>
      </c>
      <c r="D27" s="21">
        <f>C27+1391054+27731+616591-4110433.18</f>
        <v>-59199108.18</v>
      </c>
      <c r="E27" s="21">
        <v>-55616108.439999998</v>
      </c>
      <c r="F27" s="21">
        <v>-52920635</v>
      </c>
      <c r="G27" s="23">
        <f t="shared" si="12"/>
        <v>3582999.7400000021</v>
      </c>
      <c r="L27" s="24"/>
      <c r="M27" s="4"/>
      <c r="N27" s="4"/>
      <c r="O27" s="4"/>
      <c r="P27" s="4"/>
      <c r="Q27" s="4"/>
    </row>
    <row r="28" spans="1:17">
      <c r="A28" s="28" t="s">
        <v>67</v>
      </c>
      <c r="B28" s="20"/>
      <c r="C28" s="22">
        <v>-2120405</v>
      </c>
      <c r="D28" s="21">
        <f>C28+39317+181618-946473.91</f>
        <v>-2845943.91</v>
      </c>
      <c r="E28" s="21">
        <v>-2188627.9</v>
      </c>
      <c r="F28" s="21">
        <v>-2247490</v>
      </c>
      <c r="G28" s="23">
        <f t="shared" si="12"/>
        <v>657316.01000000024</v>
      </c>
      <c r="L28" s="29"/>
      <c r="M28" s="4"/>
      <c r="N28" s="4"/>
      <c r="O28" s="4"/>
      <c r="P28" s="4"/>
      <c r="Q28" s="4"/>
    </row>
    <row r="29" spans="1:17">
      <c r="A29" s="19"/>
      <c r="B29" s="20" t="s">
        <v>7</v>
      </c>
      <c r="C29" s="22">
        <v>-1688623</v>
      </c>
      <c r="D29" s="21">
        <f>C29+39317-533623.13</f>
        <v>-2182929.13</v>
      </c>
      <c r="E29" s="21">
        <v>-1874776.28</v>
      </c>
      <c r="F29" s="21">
        <v>-1927488.08</v>
      </c>
      <c r="G29" s="23">
        <f t="shared" si="12"/>
        <v>308152.84999999986</v>
      </c>
      <c r="L29" s="24"/>
      <c r="M29" s="4"/>
      <c r="N29" s="4"/>
      <c r="O29" s="4"/>
      <c r="P29" s="4"/>
      <c r="Q29" s="4"/>
    </row>
    <row r="30" spans="1:17">
      <c r="A30" s="16" t="s">
        <v>48</v>
      </c>
      <c r="B30" s="16"/>
      <c r="C30" s="17">
        <v>-12581548</v>
      </c>
      <c r="D30" s="17">
        <f>C30+429610+640880-205661.27</f>
        <v>-11716719.27</v>
      </c>
      <c r="E30" s="17">
        <v>-9885646.8499999996</v>
      </c>
      <c r="F30" s="10">
        <v>-9255935.6500000004</v>
      </c>
      <c r="G30" s="10">
        <f>E30-D30</f>
        <v>1831072.42</v>
      </c>
      <c r="L30" s="15"/>
      <c r="M30" s="18"/>
      <c r="N30" s="18"/>
      <c r="O30" s="18"/>
      <c r="P30" s="18"/>
      <c r="Q30" s="18"/>
    </row>
    <row r="31" spans="1:17">
      <c r="A31" s="16" t="s">
        <v>9</v>
      </c>
      <c r="B31" s="16"/>
      <c r="C31" s="17">
        <v>-1386432</v>
      </c>
      <c r="D31" s="17">
        <f>C31-1578033-1356492+24000-2883866.9</f>
        <v>-7180823.9000000004</v>
      </c>
      <c r="E31" s="17">
        <f>-10559232.64-842542.31+6139522.11</f>
        <v>-5262252.8400000008</v>
      </c>
      <c r="F31" s="10">
        <f>-11175507.64-1095692.34+5108499.34</f>
        <v>-7162700.6400000006</v>
      </c>
      <c r="G31" s="10">
        <f>E31-D31</f>
        <v>1918571.0599999996</v>
      </c>
      <c r="L31" s="15"/>
      <c r="M31" s="18"/>
      <c r="N31" s="18"/>
      <c r="O31" s="18"/>
      <c r="P31" s="18"/>
      <c r="Q31" s="18"/>
    </row>
    <row r="32" spans="1:17">
      <c r="A32" s="19"/>
      <c r="B32" s="20" t="s">
        <v>7</v>
      </c>
      <c r="C32" s="21">
        <v>-1116419</v>
      </c>
      <c r="D32" s="21">
        <f>C32-1578033-1356492</f>
        <v>-4050944</v>
      </c>
      <c r="E32" s="21">
        <v>-2975981.19</v>
      </c>
      <c r="F32" s="22">
        <v>-2086900.31</v>
      </c>
      <c r="G32" s="23">
        <f t="shared" ref="G32:G35" si="13">E32-D32</f>
        <v>1074962.81</v>
      </c>
      <c r="L32" s="24"/>
      <c r="M32" s="4"/>
      <c r="N32" s="4"/>
      <c r="O32" s="4"/>
      <c r="P32" s="4"/>
      <c r="Q32" s="4"/>
    </row>
    <row r="33" spans="1:17">
      <c r="A33" s="19"/>
      <c r="B33" s="20" t="s">
        <v>56</v>
      </c>
      <c r="C33" s="21">
        <v>-250013</v>
      </c>
      <c r="D33" s="21">
        <f>C33+4000-214252.6</f>
        <v>-460265.6</v>
      </c>
      <c r="E33" s="21">
        <v>-842542.31</v>
      </c>
      <c r="F33" s="22">
        <v>-1095692.3400000001</v>
      </c>
      <c r="G33" s="23">
        <f t="shared" si="13"/>
        <v>-382276.71000000008</v>
      </c>
      <c r="L33" s="24"/>
      <c r="M33" s="4"/>
      <c r="N33" s="4"/>
      <c r="O33" s="4"/>
      <c r="P33" s="4"/>
      <c r="Q33" s="4"/>
    </row>
    <row r="34" spans="1:17">
      <c r="A34" s="30" t="s">
        <v>20</v>
      </c>
      <c r="B34" s="30"/>
      <c r="C34" s="10">
        <f t="shared" ref="C34:D34" si="14">C35</f>
        <v>0</v>
      </c>
      <c r="D34" s="10">
        <f t="shared" si="14"/>
        <v>0</v>
      </c>
      <c r="E34" s="10">
        <f>E35</f>
        <v>585073.56999999995</v>
      </c>
      <c r="F34" s="10">
        <f t="shared" ref="F34:G34" si="15">F35</f>
        <v>0</v>
      </c>
      <c r="G34" s="10">
        <f t="shared" si="15"/>
        <v>585073.56999999995</v>
      </c>
      <c r="L34" s="31"/>
      <c r="M34" s="18"/>
      <c r="N34" s="18"/>
      <c r="O34" s="18"/>
      <c r="P34" s="18"/>
      <c r="Q34" s="18"/>
    </row>
    <row r="35" spans="1:17">
      <c r="A35" s="32" t="s">
        <v>81</v>
      </c>
      <c r="B35" s="32"/>
      <c r="C35" s="22">
        <v>0</v>
      </c>
      <c r="D35" s="22">
        <v>0</v>
      </c>
      <c r="E35" s="22">
        <v>585073.56999999995</v>
      </c>
      <c r="F35" s="22">
        <v>0</v>
      </c>
      <c r="G35" s="23">
        <f t="shared" si="13"/>
        <v>585073.56999999995</v>
      </c>
      <c r="L35" s="33"/>
      <c r="M35" s="4"/>
      <c r="N35" s="4"/>
      <c r="O35" s="4"/>
      <c r="P35" s="4"/>
      <c r="Q35" s="4"/>
    </row>
    <row r="36" spans="1:17">
      <c r="A36" s="19"/>
      <c r="B36" s="20" t="s">
        <v>7</v>
      </c>
      <c r="C36" s="22">
        <v>0</v>
      </c>
      <c r="D36" s="22">
        <f t="shared" ref="D36:D37" si="16">C36</f>
        <v>0</v>
      </c>
      <c r="E36" s="13">
        <v>0</v>
      </c>
      <c r="F36" s="13">
        <v>0</v>
      </c>
      <c r="G36" s="22">
        <f t="shared" ref="G36:G37" si="17">E36-D36</f>
        <v>0</v>
      </c>
      <c r="H36" s="34"/>
      <c r="I36" s="7"/>
      <c r="L36" s="24"/>
      <c r="M36" s="4"/>
      <c r="N36" s="4"/>
      <c r="O36" s="4"/>
      <c r="P36" s="4"/>
      <c r="Q36" s="4"/>
    </row>
    <row r="37" spans="1:17">
      <c r="A37" s="19"/>
      <c r="B37" s="20" t="s">
        <v>56</v>
      </c>
      <c r="C37" s="22">
        <v>0</v>
      </c>
      <c r="D37" s="22">
        <f t="shared" si="16"/>
        <v>0</v>
      </c>
      <c r="E37" s="13">
        <v>0</v>
      </c>
      <c r="F37" s="13">
        <v>0</v>
      </c>
      <c r="G37" s="22">
        <f t="shared" si="17"/>
        <v>0</v>
      </c>
      <c r="H37" s="35"/>
      <c r="I37" s="7"/>
      <c r="L37" s="24"/>
      <c r="M37" s="4"/>
      <c r="N37" s="4"/>
      <c r="O37" s="4"/>
      <c r="P37" s="4"/>
      <c r="Q37" s="4"/>
    </row>
    <row r="38" spans="1:17">
      <c r="A38" s="36" t="s">
        <v>10</v>
      </c>
      <c r="B38" s="36"/>
      <c r="C38" s="10"/>
      <c r="D38" s="10"/>
      <c r="E38" s="10">
        <f>SUM(E39:E48)</f>
        <v>-9346717.370000001</v>
      </c>
      <c r="F38" s="10">
        <f>SUM(F39:F48)</f>
        <v>-9752683.9199999999</v>
      </c>
      <c r="G38" s="10"/>
      <c r="I38" s="37"/>
      <c r="L38" s="38"/>
      <c r="M38" s="18"/>
      <c r="N38" s="18"/>
      <c r="O38" s="18"/>
      <c r="P38" s="18"/>
      <c r="Q38" s="18"/>
    </row>
    <row r="39" spans="1:17" ht="19.8" customHeight="1">
      <c r="A39" s="19"/>
      <c r="B39" s="39" t="s">
        <v>22</v>
      </c>
      <c r="C39" s="22"/>
      <c r="D39" s="22"/>
      <c r="E39" s="21">
        <v>221883.12</v>
      </c>
      <c r="F39" s="22">
        <v>583988.43999999994</v>
      </c>
      <c r="G39" s="22"/>
      <c r="H39" s="40"/>
      <c r="I39" s="40"/>
      <c r="L39" s="41"/>
      <c r="M39" s="4"/>
      <c r="N39" s="4"/>
      <c r="O39" s="4"/>
      <c r="P39" s="4"/>
      <c r="Q39" s="4"/>
    </row>
    <row r="40" spans="1:17">
      <c r="A40" s="19"/>
      <c r="B40" s="39" t="s">
        <v>52</v>
      </c>
      <c r="C40" s="22"/>
      <c r="D40" s="22"/>
      <c r="E40" s="21">
        <v>0</v>
      </c>
      <c r="F40" s="22">
        <v>62562.04</v>
      </c>
      <c r="G40" s="22"/>
      <c r="H40" s="37"/>
      <c r="I40" s="37"/>
      <c r="L40" s="41"/>
      <c r="M40" s="4"/>
      <c r="N40" s="4"/>
      <c r="O40" s="4"/>
      <c r="P40" s="4"/>
      <c r="Q40" s="4"/>
    </row>
    <row r="41" spans="1:17">
      <c r="A41" s="19"/>
      <c r="B41" s="39" t="s">
        <v>53</v>
      </c>
      <c r="C41" s="22"/>
      <c r="D41" s="22"/>
      <c r="E41" s="21">
        <v>0</v>
      </c>
      <c r="F41" s="22">
        <f>-11040.36-62562.04</f>
        <v>-73602.399999999994</v>
      </c>
      <c r="G41" s="22"/>
      <c r="I41" s="37"/>
      <c r="L41" s="41"/>
      <c r="M41" s="4"/>
      <c r="N41" s="4"/>
      <c r="O41" s="4"/>
      <c r="P41" s="4"/>
      <c r="Q41" s="4"/>
    </row>
    <row r="42" spans="1:17">
      <c r="A42" s="19"/>
      <c r="B42" s="42" t="s">
        <v>25</v>
      </c>
      <c r="C42" s="22"/>
      <c r="D42" s="22"/>
      <c r="E42" s="21">
        <v>729137.51</v>
      </c>
      <c r="F42" s="22">
        <v>0</v>
      </c>
      <c r="G42" s="22"/>
      <c r="L42" s="41"/>
      <c r="M42" s="4"/>
      <c r="N42" s="4"/>
      <c r="O42" s="4"/>
      <c r="P42" s="4"/>
      <c r="Q42" s="4"/>
    </row>
    <row r="43" spans="1:17">
      <c r="A43" s="43"/>
      <c r="B43" s="20" t="s">
        <v>15</v>
      </c>
      <c r="C43" s="44"/>
      <c r="D43" s="44"/>
      <c r="E43" s="45">
        <v>-3419403</v>
      </c>
      <c r="F43" s="44">
        <v>-4054808</v>
      </c>
      <c r="G43" s="14"/>
      <c r="L43" s="24"/>
      <c r="M43" s="4"/>
      <c r="N43" s="4"/>
      <c r="O43" s="4"/>
      <c r="P43" s="4"/>
      <c r="Q43" s="4"/>
    </row>
    <row r="44" spans="1:17">
      <c r="A44" s="43"/>
      <c r="B44" s="39" t="s">
        <v>14</v>
      </c>
      <c r="C44" s="44"/>
      <c r="D44" s="44"/>
      <c r="E44" s="45">
        <v>-6878335</v>
      </c>
      <c r="F44" s="44">
        <v>-6270824</v>
      </c>
      <c r="G44" s="14"/>
      <c r="L44" s="41"/>
      <c r="M44" s="4"/>
      <c r="N44" s="4"/>
      <c r="O44" s="4"/>
      <c r="P44" s="4"/>
      <c r="Q44" s="4"/>
    </row>
    <row r="45" spans="1:17">
      <c r="A45" s="43"/>
      <c r="B45" s="39" t="s">
        <v>23</v>
      </c>
      <c r="C45" s="44"/>
      <c r="D45" s="44"/>
      <c r="E45" s="45">
        <v>1442.68</v>
      </c>
      <c r="F45" s="44">
        <f>1039.59+40</f>
        <v>1079.5899999999999</v>
      </c>
      <c r="G45" s="14"/>
      <c r="L45" s="41"/>
      <c r="M45" s="4"/>
      <c r="N45" s="4"/>
      <c r="O45" s="4"/>
      <c r="P45" s="4"/>
      <c r="Q45" s="4"/>
    </row>
    <row r="46" spans="1:17">
      <c r="A46" s="43"/>
      <c r="B46" s="39" t="s">
        <v>24</v>
      </c>
      <c r="C46" s="44"/>
      <c r="D46" s="44"/>
      <c r="E46" s="45">
        <v>-1442.68</v>
      </c>
      <c r="F46" s="44">
        <f>-1039.59-40</f>
        <v>-1079.5899999999999</v>
      </c>
      <c r="G46" s="14"/>
      <c r="L46" s="41"/>
      <c r="M46" s="4"/>
      <c r="N46" s="4"/>
      <c r="O46" s="4"/>
      <c r="P46" s="4"/>
      <c r="Q46" s="4"/>
    </row>
    <row r="47" spans="1:17">
      <c r="A47" s="43"/>
      <c r="B47" s="39" t="s">
        <v>69</v>
      </c>
      <c r="C47" s="44"/>
      <c r="D47" s="44"/>
      <c r="E47" s="12">
        <v>6139522.1100000003</v>
      </c>
      <c r="F47" s="13">
        <v>5108499.34</v>
      </c>
      <c r="G47" s="14"/>
      <c r="L47" s="41"/>
      <c r="M47" s="4"/>
      <c r="N47" s="4"/>
      <c r="O47" s="4"/>
      <c r="P47" s="4"/>
      <c r="Q47" s="4"/>
    </row>
    <row r="48" spans="1:17">
      <c r="A48" s="43"/>
      <c r="B48" s="39" t="s">
        <v>70</v>
      </c>
      <c r="C48" s="44"/>
      <c r="D48" s="44"/>
      <c r="E48" s="12">
        <v>-6139522.1100000003</v>
      </c>
      <c r="F48" s="13">
        <v>-5108499.34</v>
      </c>
      <c r="G48" s="14"/>
      <c r="L48" s="41"/>
      <c r="M48" s="4"/>
      <c r="N48" s="4"/>
      <c r="O48" s="4"/>
      <c r="P48" s="4"/>
      <c r="Q48" s="4"/>
    </row>
    <row r="49" spans="1:17">
      <c r="A49" s="50" t="s">
        <v>18</v>
      </c>
      <c r="B49" s="51"/>
      <c r="C49" s="52"/>
      <c r="D49" s="53"/>
      <c r="E49" s="13"/>
      <c r="F49" s="13"/>
      <c r="G49" s="14"/>
      <c r="L49" s="41"/>
      <c r="M49" s="4"/>
      <c r="N49" s="4"/>
      <c r="O49" s="4"/>
      <c r="P49" s="4"/>
      <c r="Q49" s="4"/>
    </row>
    <row r="50" spans="1:17">
      <c r="A50" s="54" t="s">
        <v>19</v>
      </c>
      <c r="B50" s="54"/>
      <c r="C50" s="52"/>
      <c r="D50" s="55"/>
      <c r="E50" s="13"/>
      <c r="F50" s="13"/>
      <c r="G50" s="14"/>
      <c r="L50" s="41"/>
      <c r="M50" s="4"/>
      <c r="N50" s="4"/>
      <c r="O50" s="4"/>
      <c r="P50" s="4"/>
      <c r="Q50" s="4"/>
    </row>
    <row r="51" spans="1:17">
      <c r="A51" s="8"/>
      <c r="B51" s="50" t="s">
        <v>16</v>
      </c>
      <c r="C51" s="52">
        <v>0</v>
      </c>
      <c r="D51" s="52">
        <f>-17588037.41-363040-12078477.94+2019812.81+2250829.54+9041639.75+8695040.89+7075759.01+946473.91-1</f>
        <v>-0.44000000332016498</v>
      </c>
      <c r="E51" s="52">
        <f>-1451260-207969140.34-4356311.86-6139522.11+1073416.11+3419403+1442.68+7890200.3+4630913.57+38713964.21+77891852.89+84106413.51+2188627.9</f>
        <v>-0.13999999174848199</v>
      </c>
      <c r="F51" s="52">
        <v>0</v>
      </c>
      <c r="G51" s="10">
        <f>E51-D51</f>
        <v>0.30000001157168299</v>
      </c>
      <c r="L51" s="41"/>
      <c r="M51" s="4"/>
      <c r="N51" s="4"/>
      <c r="O51" s="4"/>
      <c r="P51" s="4"/>
      <c r="Q51" s="4"/>
    </row>
    <row r="52" spans="1:17">
      <c r="A52" s="8"/>
      <c r="B52" s="20" t="s">
        <v>7</v>
      </c>
      <c r="C52" s="23">
        <v>0</v>
      </c>
      <c r="D52" s="23">
        <f>-13595869-363040-158184.4+1514435.7+204685.73+3160188.64+4593727.19+4110433.18+533623.13</f>
        <v>0.1700000005075708</v>
      </c>
      <c r="E52" s="23">
        <f>-168131343.09+7617422.65+2076177.69+26302862.38+74643995.65+55616108.44+1874776.28</f>
        <v>0</v>
      </c>
      <c r="F52" s="23">
        <v>0</v>
      </c>
      <c r="G52" s="22">
        <f>E52-D52</f>
        <v>-0.1700000005075708</v>
      </c>
      <c r="L52" s="41"/>
      <c r="M52" s="4"/>
      <c r="N52" s="4"/>
      <c r="O52" s="4"/>
      <c r="P52" s="4"/>
      <c r="Q52" s="4"/>
    </row>
    <row r="53" spans="1:17">
      <c r="A53" s="8"/>
      <c r="B53" s="50" t="s">
        <v>17</v>
      </c>
      <c r="C53" s="52">
        <v>0</v>
      </c>
      <c r="D53" s="52">
        <v>0</v>
      </c>
      <c r="E53" s="52">
        <v>0</v>
      </c>
      <c r="F53" s="52">
        <v>0</v>
      </c>
      <c r="G53" s="10">
        <f>E53-D53</f>
        <v>0</v>
      </c>
      <c r="L53" s="41"/>
      <c r="M53" s="4"/>
      <c r="N53" s="4"/>
      <c r="O53" s="4"/>
      <c r="P53" s="4"/>
      <c r="Q53" s="4"/>
    </row>
    <row r="54" spans="1:17">
      <c r="A54" s="8"/>
      <c r="B54" s="20" t="s">
        <v>7</v>
      </c>
      <c r="C54" s="23">
        <v>0</v>
      </c>
      <c r="D54" s="23">
        <v>0</v>
      </c>
      <c r="E54" s="23">
        <v>0</v>
      </c>
      <c r="F54" s="23">
        <v>0</v>
      </c>
      <c r="G54" s="22">
        <f>E54-D54</f>
        <v>0</v>
      </c>
      <c r="L54" s="41"/>
      <c r="M54" s="4"/>
      <c r="N54" s="4"/>
      <c r="O54" s="4"/>
      <c r="P54" s="4"/>
      <c r="Q54" s="4"/>
    </row>
    <row r="55" spans="1:17">
      <c r="A55" s="56"/>
      <c r="B55" s="57" t="s">
        <v>11</v>
      </c>
      <c r="C55" s="58"/>
      <c r="D55" s="59"/>
      <c r="E55" s="60">
        <f>E5+E12+E33+E37+E38-E48</f>
        <v>-176548158.56999999</v>
      </c>
      <c r="F55" s="60">
        <f>F5+F12+F33+F37+F38-F48</f>
        <v>-173425680.04999998</v>
      </c>
      <c r="G55" s="61"/>
      <c r="L55" s="46"/>
      <c r="M55" s="4"/>
      <c r="N55" s="4"/>
      <c r="O55" s="4"/>
      <c r="P55" s="4"/>
      <c r="Q55" s="4"/>
    </row>
    <row r="56" spans="1:17">
      <c r="A56" s="56"/>
      <c r="B56" s="57" t="s">
        <v>12</v>
      </c>
      <c r="C56" s="58"/>
      <c r="D56" s="59"/>
      <c r="E56" s="60">
        <v>-176548158.56999999</v>
      </c>
      <c r="F56" s="60">
        <v>-173425680.28999999</v>
      </c>
      <c r="G56" s="61"/>
      <c r="L56" s="46"/>
      <c r="M56" s="4"/>
      <c r="N56" s="4"/>
      <c r="O56" s="4"/>
      <c r="P56" s="4"/>
      <c r="Q56" s="4"/>
    </row>
    <row r="57" spans="1:17">
      <c r="E57" s="3">
        <f>SUM(E55-E56)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F9403-50E9-43C6-AF9D-B37F0A9328D9}">
  <dimension ref="A1:O23"/>
  <sheetViews>
    <sheetView workbookViewId="0">
      <selection activeCell="B41" sqref="B41"/>
    </sheetView>
  </sheetViews>
  <sheetFormatPr defaultRowHeight="13.2"/>
  <cols>
    <col min="1" max="1" width="15.88671875" style="2" customWidth="1"/>
    <col min="2" max="2" width="39.109375" style="2" customWidth="1"/>
    <col min="3" max="3" width="16.6640625" style="71" bestFit="1" customWidth="1"/>
    <col min="4" max="4" width="16.109375" style="71" bestFit="1" customWidth="1"/>
    <col min="5" max="5" width="16.6640625" style="71" bestFit="1" customWidth="1"/>
    <col min="6" max="6" width="9.109375" style="68"/>
    <col min="7" max="7" width="16" style="68" bestFit="1" customWidth="1"/>
    <col min="8" max="8" width="16.6640625" style="68" bestFit="1" customWidth="1"/>
    <col min="9" max="9" width="15.88671875" style="68" bestFit="1" customWidth="1"/>
    <col min="10" max="10" width="23.77734375" style="2" customWidth="1"/>
    <col min="11" max="11" width="13.5546875" style="2" bestFit="1" customWidth="1"/>
    <col min="12" max="12" width="8.88671875" style="2"/>
    <col min="13" max="13" width="14.33203125" style="2" bestFit="1" customWidth="1"/>
    <col min="14" max="14" width="10.6640625" style="2" bestFit="1" customWidth="1"/>
    <col min="15" max="15" width="13.33203125" style="2" customWidth="1"/>
    <col min="16" max="16384" width="8.88671875" style="2"/>
  </cols>
  <sheetData>
    <row r="1" spans="1:15">
      <c r="A1" s="62" t="s">
        <v>26</v>
      </c>
      <c r="B1" s="3"/>
      <c r="C1" s="63"/>
      <c r="D1" s="63"/>
      <c r="E1" s="63"/>
      <c r="F1" s="64"/>
      <c r="G1" s="65"/>
      <c r="H1" s="66"/>
      <c r="I1" s="67"/>
      <c r="J1" s="68"/>
    </row>
    <row r="2" spans="1:15">
      <c r="A2" s="62" t="s">
        <v>27</v>
      </c>
      <c r="B2" s="3"/>
      <c r="C2" s="63"/>
      <c r="D2" s="63"/>
      <c r="E2" s="63"/>
      <c r="F2" s="64"/>
      <c r="G2" s="65"/>
      <c r="H2" s="66"/>
      <c r="I2" s="66"/>
      <c r="J2" s="68"/>
    </row>
    <row r="3" spans="1:15">
      <c r="A3" s="62"/>
      <c r="B3" s="3"/>
      <c r="C3" s="69">
        <f>SUBTOTAL(9,C5:C24)</f>
        <v>-186522317.63999999</v>
      </c>
      <c r="D3" s="69">
        <f>SUBTOTAL(9,D5:D24)</f>
        <v>-186522317.63999999</v>
      </c>
      <c r="E3" s="69">
        <f>SUBTOTAL(9,E5:E24)</f>
        <v>3.7252902984619141E-9</v>
      </c>
      <c r="F3" s="64"/>
      <c r="G3" s="69">
        <f>SUBTOTAL(9,G5:G24)</f>
        <v>-184601187.92999998</v>
      </c>
      <c r="H3" s="69">
        <f>SUBTOTAL(9,H5:H24)</f>
        <v>-184601187.69000003</v>
      </c>
      <c r="I3" s="70">
        <f>SUBTOTAL(9,I5:I24)</f>
        <v>-0.23999999044463038</v>
      </c>
    </row>
    <row r="4" spans="1:15" ht="26.4">
      <c r="A4" s="73" t="s">
        <v>36</v>
      </c>
      <c r="B4" s="73" t="s">
        <v>28</v>
      </c>
      <c r="C4" s="74" t="s">
        <v>82</v>
      </c>
      <c r="D4" s="74" t="s">
        <v>83</v>
      </c>
      <c r="E4" s="74" t="s">
        <v>84</v>
      </c>
      <c r="F4" s="75" t="s">
        <v>29</v>
      </c>
      <c r="G4" s="74" t="s">
        <v>76</v>
      </c>
      <c r="H4" s="74" t="s">
        <v>77</v>
      </c>
      <c r="I4" s="74" t="s">
        <v>78</v>
      </c>
      <c r="J4" s="73" t="s">
        <v>29</v>
      </c>
    </row>
    <row r="5" spans="1:15">
      <c r="A5" s="8" t="s">
        <v>92</v>
      </c>
      <c r="B5" s="8" t="s">
        <v>5</v>
      </c>
      <c r="C5" s="76">
        <v>31706634.75</v>
      </c>
      <c r="D5" s="77">
        <f>aruanne!E6</f>
        <v>31706829.75</v>
      </c>
      <c r="E5" s="77">
        <f t="shared" ref="E5:E23" si="0">C5-D5</f>
        <v>-195</v>
      </c>
      <c r="F5" s="78"/>
      <c r="G5" s="76">
        <v>31129866.690000001</v>
      </c>
      <c r="H5" s="77">
        <f>aruanne!F6</f>
        <v>31129866.690000001</v>
      </c>
      <c r="I5" s="77">
        <f t="shared" ref="I5:I23" si="1">G5-H5</f>
        <v>0</v>
      </c>
      <c r="J5" s="8"/>
      <c r="K5" s="68"/>
      <c r="O5" s="68"/>
    </row>
    <row r="6" spans="1:15">
      <c r="A6" s="8" t="s">
        <v>92</v>
      </c>
      <c r="B6" s="8" t="s">
        <v>6</v>
      </c>
      <c r="C6" s="76">
        <v>6157889.0899999999</v>
      </c>
      <c r="D6" s="77">
        <f>aruanne!E7+aruanne!E45</f>
        <v>6339796.1799999997</v>
      </c>
      <c r="E6" s="77">
        <f t="shared" si="0"/>
        <v>-181907.08999999985</v>
      </c>
      <c r="F6" s="78"/>
      <c r="G6" s="76">
        <v>4124963.78</v>
      </c>
      <c r="H6" s="77">
        <f>aruanne!F7+aruanne!F45</f>
        <v>4153545.5700000003</v>
      </c>
      <c r="I6" s="77">
        <f t="shared" si="1"/>
        <v>-28581.790000000503</v>
      </c>
      <c r="J6" s="8" t="s">
        <v>63</v>
      </c>
      <c r="K6" s="68"/>
      <c r="O6" s="68"/>
    </row>
    <row r="7" spans="1:15">
      <c r="A7" s="8" t="s">
        <v>92</v>
      </c>
      <c r="B7" s="8" t="s">
        <v>4</v>
      </c>
      <c r="C7" s="76">
        <v>3366857.14</v>
      </c>
      <c r="D7" s="77">
        <f>aruanne!E8+aruanne!E39+aruanne!E40</f>
        <v>3366857.1399999997</v>
      </c>
      <c r="E7" s="77">
        <f t="shared" si="0"/>
        <v>0</v>
      </c>
      <c r="F7" s="78"/>
      <c r="G7" s="76">
        <v>6564436.7599999998</v>
      </c>
      <c r="H7" s="77">
        <f>aruanne!F8+aruanne!F39+aruanne!F40</f>
        <v>6564436.7600000007</v>
      </c>
      <c r="I7" s="77">
        <f t="shared" si="1"/>
        <v>0</v>
      </c>
      <c r="J7" s="8" t="s">
        <v>63</v>
      </c>
      <c r="K7" s="68"/>
      <c r="O7" s="68"/>
    </row>
    <row r="8" spans="1:15">
      <c r="A8" s="8" t="s">
        <v>92</v>
      </c>
      <c r="B8" s="8" t="s">
        <v>60</v>
      </c>
      <c r="C8" s="76">
        <v>1685.5</v>
      </c>
      <c r="D8" s="77">
        <f>aruanne!E9</f>
        <v>1685.5</v>
      </c>
      <c r="E8" s="77">
        <f t="shared" si="0"/>
        <v>0</v>
      </c>
      <c r="F8" s="78"/>
      <c r="G8" s="76">
        <v>1074.6600000000001</v>
      </c>
      <c r="H8" s="77">
        <f>aruanne!F9</f>
        <v>1074.6600000000001</v>
      </c>
      <c r="I8" s="77">
        <f t="shared" si="1"/>
        <v>0</v>
      </c>
      <c r="J8" s="8"/>
      <c r="K8" s="68"/>
      <c r="O8" s="68"/>
    </row>
    <row r="9" spans="1:15" ht="52.8">
      <c r="A9" s="8" t="s">
        <v>92</v>
      </c>
      <c r="B9" s="8" t="s">
        <v>62</v>
      </c>
      <c r="C9" s="76">
        <v>4451348.3899999997</v>
      </c>
      <c r="D9" s="77">
        <f>aruanne!E10</f>
        <v>4451348.3899999997</v>
      </c>
      <c r="E9" s="77">
        <f t="shared" si="0"/>
        <v>0</v>
      </c>
      <c r="F9" s="78"/>
      <c r="G9" s="76">
        <v>1607334.97</v>
      </c>
      <c r="H9" s="77">
        <f>aruanne!F10</f>
        <v>1607294.97</v>
      </c>
      <c r="I9" s="77">
        <f t="shared" si="1"/>
        <v>40</v>
      </c>
      <c r="J9" s="77" t="s">
        <v>91</v>
      </c>
      <c r="K9" s="68"/>
      <c r="O9" s="68"/>
    </row>
    <row r="10" spans="1:15">
      <c r="A10" s="8" t="s">
        <v>92</v>
      </c>
      <c r="B10" s="8" t="s">
        <v>51</v>
      </c>
      <c r="C10" s="76">
        <f>391.84+7165178.37</f>
        <v>7165570.21</v>
      </c>
      <c r="D10" s="77">
        <f>aruanne!E11</f>
        <v>7166007.21</v>
      </c>
      <c r="E10" s="77">
        <f t="shared" si="0"/>
        <v>-437</v>
      </c>
      <c r="F10" s="78"/>
      <c r="G10" s="76">
        <v>11071546.539999999</v>
      </c>
      <c r="H10" s="77">
        <f>aruanne!F11</f>
        <v>11072108.540000001</v>
      </c>
      <c r="I10" s="77">
        <f t="shared" si="1"/>
        <v>-562.00000000186265</v>
      </c>
      <c r="J10" s="8"/>
      <c r="K10" s="68"/>
      <c r="O10" s="68"/>
    </row>
    <row r="11" spans="1:15">
      <c r="A11" s="8" t="s">
        <v>92</v>
      </c>
      <c r="B11" s="8" t="s">
        <v>32</v>
      </c>
      <c r="C11" s="76">
        <f>195+31900.65+150006.44+437</f>
        <v>182539.09</v>
      </c>
      <c r="D11" s="77"/>
      <c r="E11" s="77">
        <f t="shared" si="0"/>
        <v>182539.09</v>
      </c>
      <c r="F11" s="78"/>
      <c r="G11" s="76">
        <v>29103.79</v>
      </c>
      <c r="H11" s="77"/>
      <c r="I11" s="77">
        <f t="shared" si="1"/>
        <v>29103.79</v>
      </c>
      <c r="J11" s="8" t="s">
        <v>63</v>
      </c>
      <c r="K11" s="68"/>
      <c r="O11" s="68"/>
    </row>
    <row r="12" spans="1:15">
      <c r="A12" s="8" t="s">
        <v>92</v>
      </c>
      <c r="B12" s="8" t="s">
        <v>30</v>
      </c>
      <c r="C12" s="76">
        <v>729137.51</v>
      </c>
      <c r="D12" s="77">
        <f>aruanne!E42</f>
        <v>729137.51</v>
      </c>
      <c r="E12" s="77">
        <f t="shared" si="0"/>
        <v>0</v>
      </c>
      <c r="F12" s="78"/>
      <c r="G12" s="76">
        <v>0</v>
      </c>
      <c r="H12" s="77"/>
      <c r="I12" s="77">
        <f t="shared" si="1"/>
        <v>0</v>
      </c>
      <c r="J12" s="8"/>
      <c r="K12" s="68"/>
      <c r="O12" s="68"/>
    </row>
    <row r="13" spans="1:15" s="72" customFormat="1">
      <c r="A13" s="8" t="s">
        <v>92</v>
      </c>
      <c r="B13" s="79" t="s">
        <v>58</v>
      </c>
      <c r="C13" s="80">
        <f>-223248946.16-C16-C19-C22</f>
        <v>-212520757</v>
      </c>
      <c r="D13" s="81">
        <f>aruanne!E12+aruanne!E43+aruanne!E46+aruanne!E47+aruanne!E41-aruanne!E30</f>
        <v>-212703296.09</v>
      </c>
      <c r="E13" s="81">
        <f t="shared" si="0"/>
        <v>182539.09000000358</v>
      </c>
      <c r="F13" s="82"/>
      <c r="G13" s="83">
        <v>-211302451.69999999</v>
      </c>
      <c r="H13" s="81">
        <f>aruanne!F12+aruanne!F43+aruanne!F46+aruanne!F47+aruanne!F41-aruanne!F30</f>
        <v>-211331555.25</v>
      </c>
      <c r="I13" s="81">
        <f t="shared" si="1"/>
        <v>29103.550000011921</v>
      </c>
      <c r="J13" s="79"/>
      <c r="K13" s="64"/>
      <c r="O13" s="64"/>
    </row>
    <row r="14" spans="1:15">
      <c r="A14" s="8" t="s">
        <v>92</v>
      </c>
      <c r="B14" s="8" t="s">
        <v>33</v>
      </c>
      <c r="C14" s="76">
        <f>-903.6-181003.49-632</f>
        <v>-182539.09</v>
      </c>
      <c r="D14" s="77"/>
      <c r="E14" s="77">
        <f t="shared" si="0"/>
        <v>-182539.09</v>
      </c>
      <c r="F14" s="78"/>
      <c r="G14" s="76">
        <v>-29103.79</v>
      </c>
      <c r="H14" s="77"/>
      <c r="I14" s="77">
        <f t="shared" si="1"/>
        <v>-29103.79</v>
      </c>
      <c r="J14" s="8"/>
      <c r="K14" s="68"/>
      <c r="O14" s="68"/>
    </row>
    <row r="15" spans="1:15">
      <c r="A15" s="8" t="s">
        <v>92</v>
      </c>
      <c r="B15" s="8" t="s">
        <v>31</v>
      </c>
      <c r="C15" s="76">
        <v>-6878335</v>
      </c>
      <c r="D15" s="77">
        <f>aruanne!E44</f>
        <v>-6878335</v>
      </c>
      <c r="E15" s="77">
        <f t="shared" si="0"/>
        <v>0</v>
      </c>
      <c r="F15" s="78"/>
      <c r="G15" s="76">
        <v>-6270824</v>
      </c>
      <c r="H15" s="77">
        <f>aruanne!F44</f>
        <v>-6270824</v>
      </c>
      <c r="I15" s="77">
        <f t="shared" si="1"/>
        <v>0</v>
      </c>
      <c r="J15" s="8"/>
      <c r="K15" s="68"/>
      <c r="O15" s="68"/>
    </row>
    <row r="16" spans="1:15">
      <c r="A16" s="8" t="s">
        <v>92</v>
      </c>
      <c r="B16" s="84" t="s">
        <v>49</v>
      </c>
      <c r="C16" s="76">
        <v>-9885646.8499999996</v>
      </c>
      <c r="D16" s="77">
        <f>aruanne!E30</f>
        <v>-9885646.8499999996</v>
      </c>
      <c r="E16" s="77">
        <f t="shared" si="0"/>
        <v>0</v>
      </c>
      <c r="F16" s="85"/>
      <c r="G16" s="76">
        <v>-9255935.6500000004</v>
      </c>
      <c r="H16" s="77">
        <f>aruanne!F30</f>
        <v>-9255935.6500000004</v>
      </c>
      <c r="I16" s="77">
        <f t="shared" si="1"/>
        <v>0</v>
      </c>
      <c r="J16" s="8"/>
      <c r="K16" s="68"/>
      <c r="O16" s="68"/>
    </row>
    <row r="17" spans="1:15">
      <c r="A17" s="8" t="s">
        <v>92</v>
      </c>
      <c r="B17" s="84" t="s">
        <v>59</v>
      </c>
      <c r="C17" s="76">
        <f>-10618659.64</f>
        <v>-10618659.640000001</v>
      </c>
      <c r="D17" s="77">
        <f>aruanne!E31+aruanne!E48-D19</f>
        <v>-10559232.640000001</v>
      </c>
      <c r="E17" s="77">
        <f t="shared" si="0"/>
        <v>-59427</v>
      </c>
      <c r="F17" s="85"/>
      <c r="G17" s="76">
        <v>-11175507.640000001</v>
      </c>
      <c r="H17" s="77">
        <f>aruanne!F31+aruanne!F48-aruanne!F33</f>
        <v>-11175507.640000001</v>
      </c>
      <c r="I17" s="77">
        <f t="shared" si="1"/>
        <v>0</v>
      </c>
      <c r="J17" s="8"/>
      <c r="K17" s="68"/>
      <c r="O17" s="68"/>
    </row>
    <row r="18" spans="1:15">
      <c r="A18" s="8" t="s">
        <v>92</v>
      </c>
      <c r="B18" s="8" t="s">
        <v>34</v>
      </c>
      <c r="C18" s="76">
        <v>59427</v>
      </c>
      <c r="D18" s="77">
        <v>0</v>
      </c>
      <c r="E18" s="77">
        <f t="shared" si="0"/>
        <v>59427</v>
      </c>
      <c r="F18" s="78"/>
      <c r="G18" s="76"/>
      <c r="H18" s="77">
        <v>0</v>
      </c>
      <c r="I18" s="77">
        <f t="shared" si="1"/>
        <v>0</v>
      </c>
      <c r="J18" s="8" t="s">
        <v>89</v>
      </c>
      <c r="K18" s="68"/>
      <c r="O18" s="68"/>
    </row>
    <row r="19" spans="1:15">
      <c r="A19" s="8" t="s">
        <v>92</v>
      </c>
      <c r="B19" s="8" t="s">
        <v>57</v>
      </c>
      <c r="C19" s="76">
        <v>-842542.31</v>
      </c>
      <c r="D19" s="77">
        <f>aruanne!E33</f>
        <v>-842542.31</v>
      </c>
      <c r="E19" s="77">
        <f t="shared" si="0"/>
        <v>0</v>
      </c>
      <c r="F19" s="78"/>
      <c r="G19" s="76">
        <v>-1095692.3400000001</v>
      </c>
      <c r="H19" s="77">
        <f>aruanne!F33</f>
        <v>-1095692.3400000001</v>
      </c>
      <c r="I19" s="77">
        <f t="shared" si="1"/>
        <v>0</v>
      </c>
      <c r="J19" s="8"/>
      <c r="K19" s="68"/>
      <c r="O19" s="68"/>
    </row>
    <row r="20" spans="1:15">
      <c r="A20" s="8" t="s">
        <v>92</v>
      </c>
      <c r="B20" s="8" t="s">
        <v>68</v>
      </c>
      <c r="C20" s="76"/>
      <c r="D20" s="77">
        <f>aruanne!E34-aruanne!E37</f>
        <v>585073.56999999995</v>
      </c>
      <c r="E20" s="77">
        <f t="shared" si="0"/>
        <v>-585073.56999999995</v>
      </c>
      <c r="F20" s="78"/>
      <c r="G20" s="76"/>
      <c r="H20" s="77">
        <f>aruanne!F34-aruanne!F37</f>
        <v>0</v>
      </c>
      <c r="I20" s="77">
        <f t="shared" si="1"/>
        <v>0</v>
      </c>
      <c r="J20" s="8" t="s">
        <v>90</v>
      </c>
      <c r="K20" s="68"/>
      <c r="O20" s="68"/>
    </row>
    <row r="21" spans="1:15">
      <c r="A21" s="8" t="s">
        <v>92</v>
      </c>
      <c r="B21" s="8" t="s">
        <v>35</v>
      </c>
      <c r="C21" s="76">
        <v>0</v>
      </c>
      <c r="D21" s="77"/>
      <c r="E21" s="77">
        <f t="shared" si="0"/>
        <v>0</v>
      </c>
      <c r="F21" s="78"/>
      <c r="G21" s="76"/>
      <c r="H21" s="77"/>
      <c r="I21" s="77">
        <f t="shared" ref="I21:I22" si="2">G21-H21</f>
        <v>0</v>
      </c>
      <c r="J21" s="8"/>
      <c r="K21" s="68"/>
      <c r="O21" s="68"/>
    </row>
    <row r="22" spans="1:15">
      <c r="A22" s="8" t="s">
        <v>92</v>
      </c>
      <c r="B22" s="8" t="s">
        <v>50</v>
      </c>
      <c r="C22" s="76">
        <v>0</v>
      </c>
      <c r="D22" s="77">
        <f>aruanne!E36</f>
        <v>0</v>
      </c>
      <c r="E22" s="77">
        <f t="shared" ref="E22" si="3">C22-D22</f>
        <v>0</v>
      </c>
      <c r="F22" s="78"/>
      <c r="G22" s="76">
        <v>0</v>
      </c>
      <c r="H22" s="77">
        <f>aruanne!F36</f>
        <v>0</v>
      </c>
      <c r="I22" s="77">
        <f t="shared" si="2"/>
        <v>0</v>
      </c>
      <c r="J22" s="8"/>
      <c r="K22" s="68"/>
      <c r="O22" s="68"/>
    </row>
    <row r="23" spans="1:15">
      <c r="A23" s="8" t="s">
        <v>92</v>
      </c>
      <c r="B23" s="8" t="s">
        <v>88</v>
      </c>
      <c r="C23" s="76">
        <v>585073.56999999995</v>
      </c>
      <c r="D23" s="77"/>
      <c r="E23" s="77">
        <f t="shared" si="0"/>
        <v>585073.56999999995</v>
      </c>
      <c r="F23" s="78"/>
      <c r="G23" s="76">
        <v>0</v>
      </c>
      <c r="H23" s="77">
        <f>aruanne!F37</f>
        <v>0</v>
      </c>
      <c r="I23" s="77">
        <f t="shared" si="1"/>
        <v>0</v>
      </c>
      <c r="J23" s="8" t="s">
        <v>90</v>
      </c>
      <c r="K23" s="68"/>
      <c r="O23" s="68"/>
    </row>
  </sheetData>
  <autoFilter ref="A4:J24" xr:uid="{EF1F9403-50E9-43C6-AF9D-B37F0A9328D9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86A9-CF0E-4B82-AA53-D93B7E26FB31}">
  <dimension ref="A1:F24"/>
  <sheetViews>
    <sheetView topLeftCell="A3" workbookViewId="0">
      <pane xSplit="1" ySplit="5" topLeftCell="B8" activePane="bottomRight" state="frozen"/>
      <selection activeCell="A3" sqref="A3"/>
      <selection pane="topRight" activeCell="B3" sqref="B3"/>
      <selection pane="bottomLeft" activeCell="A7" sqref="A7"/>
      <selection pane="bottomRight" activeCell="C27" sqref="C27"/>
    </sheetView>
  </sheetViews>
  <sheetFormatPr defaultRowHeight="13.2"/>
  <cols>
    <col min="1" max="1" width="58.33203125" style="2" customWidth="1"/>
    <col min="2" max="2" width="10.6640625" style="2" customWidth="1"/>
    <col min="3" max="3" width="24.109375" style="2" customWidth="1"/>
    <col min="4" max="4" width="8.88671875" style="2"/>
    <col min="5" max="5" width="76" style="2" customWidth="1"/>
    <col min="6" max="6" width="34.88671875" style="2" customWidth="1"/>
    <col min="7" max="16384" width="8.88671875" style="2"/>
  </cols>
  <sheetData>
    <row r="1" spans="1:6">
      <c r="A1" s="62" t="s">
        <v>26</v>
      </c>
      <c r="E1" s="68"/>
    </row>
    <row r="2" spans="1:6">
      <c r="A2" s="62" t="s">
        <v>37</v>
      </c>
      <c r="E2" s="68"/>
    </row>
    <row r="3" spans="1:6">
      <c r="A3" s="72" t="s">
        <v>0</v>
      </c>
      <c r="C3" s="97"/>
      <c r="D3" s="97"/>
      <c r="E3" s="68"/>
    </row>
    <row r="4" spans="1:6">
      <c r="A4" s="72"/>
      <c r="C4" s="97"/>
      <c r="D4" s="97"/>
      <c r="E4" s="68"/>
    </row>
    <row r="5" spans="1:6">
      <c r="A5" s="62"/>
      <c r="B5" s="3"/>
      <c r="C5" s="3"/>
      <c r="D5" s="3"/>
      <c r="E5" s="68"/>
    </row>
    <row r="6" spans="1:6">
      <c r="A6" s="62"/>
      <c r="E6" s="68"/>
    </row>
    <row r="7" spans="1:6" ht="52.5" customHeight="1">
      <c r="A7" s="73"/>
      <c r="B7" s="100" t="s">
        <v>38</v>
      </c>
      <c r="C7" s="100" t="s">
        <v>61</v>
      </c>
      <c r="D7" s="100" t="s">
        <v>94</v>
      </c>
      <c r="E7" s="68"/>
    </row>
    <row r="8" spans="1:6">
      <c r="A8" s="86" t="s">
        <v>39</v>
      </c>
      <c r="B8" s="87">
        <v>45114253</v>
      </c>
      <c r="C8" s="88">
        <v>-232232741</v>
      </c>
      <c r="D8" s="87">
        <f>aruanne!C34</f>
        <v>0</v>
      </c>
      <c r="E8" s="64"/>
      <c r="F8" s="4"/>
    </row>
    <row r="9" spans="1:6">
      <c r="A9" s="86" t="s">
        <v>40</v>
      </c>
      <c r="B9" s="89"/>
      <c r="C9" s="88">
        <v>-19166070.059999999</v>
      </c>
      <c r="D9" s="87"/>
      <c r="E9" s="64"/>
    </row>
    <row r="10" spans="1:6">
      <c r="A10" s="86" t="s">
        <v>86</v>
      </c>
      <c r="B10" s="89"/>
      <c r="C10" s="88">
        <v>4335155</v>
      </c>
      <c r="D10" s="87"/>
      <c r="E10" s="64"/>
    </row>
    <row r="11" spans="1:6">
      <c r="A11" s="86" t="s">
        <v>87</v>
      </c>
      <c r="B11" s="87"/>
      <c r="C11" s="88">
        <v>-206617</v>
      </c>
      <c r="D11" s="87"/>
      <c r="E11" s="64"/>
    </row>
    <row r="12" spans="1:6">
      <c r="A12" s="79" t="s">
        <v>74</v>
      </c>
      <c r="B12" s="87"/>
      <c r="C12" s="88">
        <v>-1435</v>
      </c>
      <c r="D12" s="87"/>
      <c r="E12" s="64"/>
      <c r="F12" s="6"/>
    </row>
    <row r="13" spans="1:6">
      <c r="A13" s="79" t="s">
        <v>41</v>
      </c>
      <c r="B13" s="87"/>
      <c r="C13" s="88">
        <v>-363040</v>
      </c>
      <c r="D13" s="87"/>
      <c r="E13" s="64"/>
      <c r="F13" s="98"/>
    </row>
    <row r="14" spans="1:6">
      <c r="A14" s="86" t="s">
        <v>42</v>
      </c>
      <c r="B14" s="89"/>
      <c r="C14" s="90">
        <v>3170750</v>
      </c>
      <c r="D14" s="89"/>
      <c r="E14" s="64"/>
      <c r="F14" s="4"/>
    </row>
    <row r="15" spans="1:6">
      <c r="A15" s="86" t="s">
        <v>43</v>
      </c>
      <c r="B15" s="89"/>
      <c r="C15" s="90">
        <v>-7049428.6200000001</v>
      </c>
      <c r="D15" s="89"/>
      <c r="E15" s="91"/>
    </row>
    <row r="16" spans="1:6">
      <c r="A16" s="86" t="s">
        <v>54</v>
      </c>
      <c r="B16" s="89"/>
      <c r="C16" s="90">
        <v>774182</v>
      </c>
      <c r="D16" s="89"/>
      <c r="E16" s="91"/>
    </row>
    <row r="17" spans="1:6">
      <c r="A17" s="86" t="s">
        <v>55</v>
      </c>
      <c r="B17" s="89"/>
      <c r="C17" s="90">
        <v>-260672.09</v>
      </c>
      <c r="D17" s="89"/>
      <c r="E17" s="92"/>
      <c r="F17" s="99"/>
    </row>
    <row r="18" spans="1:6">
      <c r="A18" s="93" t="s">
        <v>44</v>
      </c>
      <c r="B18" s="89"/>
      <c r="C18" s="90">
        <v>3569049</v>
      </c>
      <c r="D18" s="89"/>
      <c r="E18" s="92"/>
      <c r="F18" s="99"/>
    </row>
    <row r="19" spans="1:6">
      <c r="A19" s="93" t="s">
        <v>45</v>
      </c>
      <c r="B19" s="89"/>
      <c r="C19" s="90">
        <v>-6337093.9800000004</v>
      </c>
      <c r="D19" s="89"/>
      <c r="E19" s="92"/>
      <c r="F19" s="99"/>
    </row>
    <row r="20" spans="1:6">
      <c r="A20" s="93" t="s">
        <v>46</v>
      </c>
      <c r="B20" s="89"/>
      <c r="C20" s="90">
        <v>600000</v>
      </c>
      <c r="D20" s="89"/>
      <c r="E20" s="92"/>
      <c r="F20" s="99"/>
    </row>
    <row r="21" spans="1:6">
      <c r="A21" s="93" t="s">
        <v>75</v>
      </c>
      <c r="B21" s="89"/>
      <c r="C21" s="90">
        <v>-1520811.42</v>
      </c>
      <c r="D21" s="89"/>
      <c r="E21" s="92"/>
      <c r="F21" s="99"/>
    </row>
    <row r="22" spans="1:6">
      <c r="A22" s="94" t="s">
        <v>47</v>
      </c>
      <c r="B22" s="95">
        <f>SUM(B8:B21)</f>
        <v>45114253</v>
      </c>
      <c r="C22" s="96">
        <f>SUM(C8:C21)</f>
        <v>-254688773.16999999</v>
      </c>
      <c r="D22" s="95">
        <f>SUM(D8:D21)</f>
        <v>0</v>
      </c>
      <c r="E22" s="68"/>
    </row>
    <row r="23" spans="1:6">
      <c r="A23" s="87" t="s">
        <v>95</v>
      </c>
      <c r="B23" s="87">
        <f>aruanne!D5</f>
        <v>45114253</v>
      </c>
      <c r="C23" s="88">
        <f>aruanne!D12+aruanne!D31</f>
        <v>-254688773.52000001</v>
      </c>
      <c r="D23" s="87">
        <f>aruanne!D34</f>
        <v>0</v>
      </c>
      <c r="E23" s="3"/>
    </row>
    <row r="24" spans="1:6">
      <c r="C24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aruanne</vt:lpstr>
      <vt:lpstr>võrdlus</vt:lpstr>
      <vt:lpstr>lõpliku eelarve kujunemine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Maar</dc:creator>
  <cp:lastModifiedBy>Kairi Sirkel - JUSTDIGI</cp:lastModifiedBy>
  <dcterms:created xsi:type="dcterms:W3CDTF">2022-02-14T16:37:54Z</dcterms:created>
  <dcterms:modified xsi:type="dcterms:W3CDTF">2025-06-20T08:19:11Z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2025-06-18T08:43:59Z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46be2d5d-0c22-4b77-8f82-e1622f7f924a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